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5" windowWidth="19320" windowHeight="12120" tabRatio="897" firstSheet="3" activeTab="8"/>
  </bookViews>
  <sheets>
    <sheet name="STARTOVNÍ LISTINA" sheetId="3" r:id="rId1"/>
    <sheet name="ROZHODCI (1)" sheetId="15" r:id="rId2"/>
    <sheet name="ROZHODCI (2)" sheetId="17" r:id="rId3"/>
    <sheet name="PRAC" sheetId="1" r:id="rId4"/>
    <sheet name="PRUBEZNA_1" sheetId="8" r:id="rId5"/>
    <sheet name="PRUBEZNA_2" sheetId="9" r:id="rId6"/>
    <sheet name="PRUBEZNA_3" sheetId="16" r:id="rId7"/>
    <sheet name="POLICISTÉ" sheetId="13" r:id="rId8"/>
    <sheet name="CELK" sheetId="12" r:id="rId9"/>
    <sheet name="STARTOVNÍ LISTINA (1)" sheetId="6" r:id="rId10"/>
    <sheet name="STARTOVNÍ LISTINA (2)" sheetId="14" r:id="rId11"/>
    <sheet name="STARTOVNÍ LISTINA (3)" sheetId="11" r:id="rId12"/>
  </sheets>
  <definedNames>
    <definedName name="_xlnm.Print_Area" localSheetId="8">CELK!$A$1:$K$37</definedName>
    <definedName name="_xlnm.Print_Area" localSheetId="7">POLICISTÉ!$A$1:$K$19</definedName>
    <definedName name="_xlnm.Print_Area" localSheetId="3">PRAC!$A$1:$X$37</definedName>
    <definedName name="_xlnm.Print_Area" localSheetId="4">PRUBEZNA_1!$A$1:$G$43</definedName>
    <definedName name="_xlnm.Print_Area" localSheetId="5">PRUBEZNA_2!$A$1:$G$43</definedName>
    <definedName name="_xlnm.Print_Area" localSheetId="1">'ROZHODCI (1)'!$A$1:$W$38</definedName>
    <definedName name="_xlnm.Print_Area" localSheetId="2">'ROZHODCI (2)'!$A$1:$W$38</definedName>
    <definedName name="_xlnm.Print_Area" localSheetId="0">'STARTOVNÍ LISTINA'!$A$1:$E$38</definedName>
    <definedName name="_xlnm.Print_Area" localSheetId="9">'STARTOVNÍ LISTINA (1)'!$A$1:$F$38</definedName>
    <definedName name="_xlnm.Print_Area" localSheetId="10">'STARTOVNÍ LISTINA (2)'!$A$1:$F$38</definedName>
  </definedNames>
  <calcPr calcId="125725"/>
</workbook>
</file>

<file path=xl/calcChain.xml><?xml version="1.0" encoding="utf-8"?>
<calcChain xmlns="http://schemas.openxmlformats.org/spreadsheetml/2006/main">
  <c r="E21" i="16"/>
  <c r="F21"/>
  <c r="E20"/>
  <c r="F20" s="1"/>
  <c r="E19"/>
  <c r="F19" s="1"/>
  <c r="E18"/>
  <c r="F18"/>
  <c r="E17"/>
  <c r="F17" s="1"/>
  <c r="E16"/>
  <c r="F16" s="1"/>
  <c r="E15"/>
  <c r="F15"/>
  <c r="E14"/>
  <c r="F14" s="1"/>
  <c r="E13"/>
  <c r="F13" s="1"/>
  <c r="E12"/>
  <c r="F12"/>
  <c r="E11"/>
  <c r="F11" s="1"/>
  <c r="E10"/>
  <c r="F10" s="1"/>
  <c r="E9"/>
  <c r="F9"/>
  <c r="E8"/>
  <c r="F8" s="1"/>
  <c r="E7"/>
  <c r="F7" s="1"/>
  <c r="B10" i="11"/>
  <c r="B11"/>
  <c r="B12"/>
  <c r="B13"/>
  <c r="B14"/>
  <c r="N40" i="1"/>
  <c r="B37" i="17"/>
  <c r="B36"/>
  <c r="B35"/>
  <c r="B34"/>
  <c r="B33"/>
  <c r="B32"/>
  <c r="B31"/>
  <c r="B30"/>
  <c r="AK30" i="1"/>
  <c r="AK31"/>
  <c r="AK32"/>
  <c r="AK33"/>
  <c r="AK34"/>
  <c r="AK35"/>
  <c r="AK36"/>
  <c r="AE37"/>
  <c r="AE36"/>
  <c r="AE35"/>
  <c r="AE34"/>
  <c r="AE33"/>
  <c r="AE32"/>
  <c r="AE31"/>
  <c r="AE30"/>
  <c r="AC37"/>
  <c r="AD37" s="1"/>
  <c r="AC36"/>
  <c r="AC35"/>
  <c r="AD35" s="1"/>
  <c r="AC34"/>
  <c r="AD34" s="1"/>
  <c r="AC33"/>
  <c r="AC32"/>
  <c r="AC31"/>
  <c r="AD31" s="1"/>
  <c r="AC30"/>
  <c r="AD30" s="1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F37"/>
  <c r="AF36"/>
  <c r="AF35"/>
  <c r="AF34"/>
  <c r="AF33"/>
  <c r="AF32"/>
  <c r="AF31"/>
  <c r="AF30"/>
  <c r="AF29"/>
  <c r="AF26"/>
  <c r="AF23"/>
  <c r="AF22"/>
  <c r="AF19"/>
  <c r="AF16"/>
  <c r="AF12"/>
  <c r="AF10"/>
  <c r="M37"/>
  <c r="C38" i="14"/>
  <c r="M36" i="1"/>
  <c r="AZ36"/>
  <c r="BB36" s="1"/>
  <c r="M35"/>
  <c r="AZ35"/>
  <c r="BB35" s="1"/>
  <c r="M34"/>
  <c r="AZ34"/>
  <c r="BB34" s="1"/>
  <c r="M33"/>
  <c r="AZ33"/>
  <c r="BB33" s="1"/>
  <c r="M32"/>
  <c r="AZ32"/>
  <c r="BB32" s="1"/>
  <c r="M31"/>
  <c r="C32" i="14"/>
  <c r="M30" i="1"/>
  <c r="AZ30"/>
  <c r="BB30" s="1"/>
  <c r="M29"/>
  <c r="M26"/>
  <c r="M23"/>
  <c r="M22"/>
  <c r="M19"/>
  <c r="M16"/>
  <c r="AD33"/>
  <c r="AL37"/>
  <c r="AM37"/>
  <c r="AL36"/>
  <c r="AM36"/>
  <c r="AL35"/>
  <c r="AM35"/>
  <c r="AL34"/>
  <c r="AM34"/>
  <c r="AL33"/>
  <c r="AM33"/>
  <c r="AL32"/>
  <c r="AM32"/>
  <c r="AL31"/>
  <c r="AM31"/>
  <c r="AL30"/>
  <c r="AM30"/>
  <c r="AD36"/>
  <c r="AD32"/>
  <c r="AJ37"/>
  <c r="AK37"/>
  <c r="AJ36"/>
  <c r="AJ35"/>
  <c r="AJ34"/>
  <c r="AJ33"/>
  <c r="AJ32"/>
  <c r="AJ31"/>
  <c r="AJ30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B30"/>
  <c r="BV30" s="1"/>
  <c r="BW30" s="1"/>
  <c r="B31"/>
  <c r="BV31" s="1"/>
  <c r="BW31" s="1"/>
  <c r="B32"/>
  <c r="BV32" s="1"/>
  <c r="BW32" s="1"/>
  <c r="B33"/>
  <c r="BV33" s="1"/>
  <c r="BW33" s="1"/>
  <c r="F37"/>
  <c r="L37"/>
  <c r="F36"/>
  <c r="F35"/>
  <c r="L35"/>
  <c r="F34"/>
  <c r="F33"/>
  <c r="L33"/>
  <c r="F32"/>
  <c r="F31"/>
  <c r="L31"/>
  <c r="F30"/>
  <c r="F29"/>
  <c r="L29"/>
  <c r="F28"/>
  <c r="F27"/>
  <c r="L27"/>
  <c r="F26"/>
  <c r="F25"/>
  <c r="F24"/>
  <c r="F23"/>
  <c r="L23"/>
  <c r="F22"/>
  <c r="F21"/>
  <c r="F20"/>
  <c r="F18"/>
  <c r="L18"/>
  <c r="F17"/>
  <c r="F16"/>
  <c r="F15"/>
  <c r="F14"/>
  <c r="L14"/>
  <c r="F13"/>
  <c r="F12"/>
  <c r="L12"/>
  <c r="F11"/>
  <c r="L11"/>
  <c r="F10"/>
  <c r="L10"/>
  <c r="F9"/>
  <c r="L9"/>
  <c r="F8"/>
  <c r="L8"/>
  <c r="F19"/>
  <c r="O28"/>
  <c r="U28"/>
  <c r="AQ28"/>
  <c r="AP27"/>
  <c r="AP23"/>
  <c r="AP19"/>
  <c r="O29"/>
  <c r="U29"/>
  <c r="AQ29"/>
  <c r="AP25"/>
  <c r="O24"/>
  <c r="U24"/>
  <c r="AQ24"/>
  <c r="O22"/>
  <c r="U22"/>
  <c r="AQ22"/>
  <c r="AP21"/>
  <c r="AP20"/>
  <c r="O17"/>
  <c r="U17"/>
  <c r="AQ17"/>
  <c r="AP16"/>
  <c r="AP15"/>
  <c r="O14"/>
  <c r="U14"/>
  <c r="AQ14"/>
  <c r="AP13"/>
  <c r="O12"/>
  <c r="U12"/>
  <c r="AQ12"/>
  <c r="O11"/>
  <c r="U11"/>
  <c r="AQ11"/>
  <c r="O10"/>
  <c r="U10"/>
  <c r="AQ10"/>
  <c r="AP9"/>
  <c r="O8"/>
  <c r="U8"/>
  <c r="AQ8"/>
  <c r="L22"/>
  <c r="L17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J19" i="13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J16"/>
  <c r="I16"/>
  <c r="H16"/>
  <c r="G16"/>
  <c r="F16"/>
  <c r="E16"/>
  <c r="D16"/>
  <c r="J15"/>
  <c r="I15"/>
  <c r="H15"/>
  <c r="F15"/>
  <c r="E15"/>
  <c r="C15"/>
  <c r="B15"/>
  <c r="J14"/>
  <c r="I14"/>
  <c r="H14"/>
  <c r="F14"/>
  <c r="E14"/>
  <c r="J13"/>
  <c r="I13"/>
  <c r="H13"/>
  <c r="F13"/>
  <c r="E13"/>
  <c r="J12"/>
  <c r="I12"/>
  <c r="H12"/>
  <c r="F12"/>
  <c r="E12"/>
  <c r="J11"/>
  <c r="I11"/>
  <c r="H11"/>
  <c r="F11"/>
  <c r="E11"/>
  <c r="B11"/>
  <c r="J10"/>
  <c r="I10"/>
  <c r="H10"/>
  <c r="F10"/>
  <c r="E10"/>
  <c r="D10"/>
  <c r="J9"/>
  <c r="I9"/>
  <c r="H9"/>
  <c r="F9"/>
  <c r="E9"/>
  <c r="C9"/>
  <c r="B9"/>
  <c r="J8"/>
  <c r="I8"/>
  <c r="H8"/>
  <c r="F8"/>
  <c r="E8"/>
  <c r="D8"/>
  <c r="B8"/>
  <c r="D16" i="1"/>
  <c r="D21"/>
  <c r="C16"/>
  <c r="C17" i="13" s="1"/>
  <c r="C21" i="1"/>
  <c r="C10" i="13" s="1"/>
  <c r="B16" i="1"/>
  <c r="B17" i="13" s="1"/>
  <c r="B21" i="1"/>
  <c r="BV21" s="1"/>
  <c r="D29"/>
  <c r="C29"/>
  <c r="B29"/>
  <c r="BV29"/>
  <c r="BW29" s="1"/>
  <c r="BY29" s="1"/>
  <c r="D26"/>
  <c r="C26"/>
  <c r="C16" i="13" s="1"/>
  <c r="B26" i="1"/>
  <c r="B16" i="13" s="1"/>
  <c r="D27" i="1"/>
  <c r="C27"/>
  <c r="B27"/>
  <c r="BV27" s="1"/>
  <c r="D15"/>
  <c r="D14" i="13" s="1"/>
  <c r="C15" i="1"/>
  <c r="C14" i="13" s="1"/>
  <c r="B15" i="1"/>
  <c r="BV15" s="1"/>
  <c r="D24"/>
  <c r="D15" i="13" s="1"/>
  <c r="C24" i="1"/>
  <c r="B24"/>
  <c r="BV24"/>
  <c r="BW24" s="1"/>
  <c r="BY24" s="1"/>
  <c r="D20"/>
  <c r="C20"/>
  <c r="B20"/>
  <c r="BV20" s="1"/>
  <c r="D17"/>
  <c r="C17"/>
  <c r="B17"/>
  <c r="BV17" s="1"/>
  <c r="D12"/>
  <c r="C12"/>
  <c r="B12"/>
  <c r="BV12"/>
  <c r="BW12" s="1"/>
  <c r="BY12" s="1"/>
  <c r="D9"/>
  <c r="C9"/>
  <c r="C8" i="13" s="1"/>
  <c r="B9" i="1"/>
  <c r="BV9" s="1"/>
  <c r="D11"/>
  <c r="C11"/>
  <c r="B11"/>
  <c r="BV11" s="1"/>
  <c r="D13"/>
  <c r="D11" i="13" s="1"/>
  <c r="C13" i="1"/>
  <c r="C11" i="13" s="1"/>
  <c r="B13" i="1"/>
  <c r="BV13"/>
  <c r="BW13" s="1"/>
  <c r="BY13" s="1"/>
  <c r="D28"/>
  <c r="D12" i="13" s="1"/>
  <c r="C28" i="1"/>
  <c r="C12" i="13" s="1"/>
  <c r="B28" i="1"/>
  <c r="BV28" s="1"/>
  <c r="D18"/>
  <c r="D13" i="13" s="1"/>
  <c r="C18" i="1"/>
  <c r="C13" i="13" s="1"/>
  <c r="B18" i="1"/>
  <c r="BV18" s="1"/>
  <c r="D10"/>
  <c r="C10"/>
  <c r="B10"/>
  <c r="D8"/>
  <c r="D9" i="13" s="1"/>
  <c r="C8" i="1"/>
  <c r="B8"/>
  <c r="BV8"/>
  <c r="D25"/>
  <c r="C25"/>
  <c r="B25"/>
  <c r="BV25" s="1"/>
  <c r="D19"/>
  <c r="C19"/>
  <c r="B19"/>
  <c r="D14"/>
  <c r="C14"/>
  <c r="B14"/>
  <c r="BV14"/>
  <c r="BW14" s="1"/>
  <c r="BY14" s="1"/>
  <c r="D23"/>
  <c r="C23"/>
  <c r="C12" i="16" s="1"/>
  <c r="B23" i="1"/>
  <c r="BV23" s="1"/>
  <c r="D22"/>
  <c r="C22"/>
  <c r="B22"/>
  <c r="BV22" s="1"/>
  <c r="D21" i="11"/>
  <c r="C21"/>
  <c r="B21"/>
  <c r="D20"/>
  <c r="C20"/>
  <c r="B20"/>
  <c r="D19"/>
  <c r="C19"/>
  <c r="B19"/>
  <c r="D18"/>
  <c r="C18"/>
  <c r="B18"/>
  <c r="D17"/>
  <c r="C17"/>
  <c r="B17"/>
  <c r="D16"/>
  <c r="C16"/>
  <c r="D15"/>
  <c r="C15"/>
  <c r="B15"/>
  <c r="D14"/>
  <c r="C14"/>
  <c r="D13"/>
  <c r="C13"/>
  <c r="D12"/>
  <c r="C12"/>
  <c r="D11"/>
  <c r="C11"/>
  <c r="D10"/>
  <c r="C10"/>
  <c r="D9"/>
  <c r="C9"/>
  <c r="B9"/>
  <c r="D8"/>
  <c r="C8"/>
  <c r="B8"/>
  <c r="D7"/>
  <c r="C7"/>
  <c r="B7"/>
  <c r="O9" i="1"/>
  <c r="U9"/>
  <c r="AQ9"/>
  <c r="AP17"/>
  <c r="AR17"/>
  <c r="AP29"/>
  <c r="L30"/>
  <c r="L36"/>
  <c r="AR37"/>
  <c r="AR35"/>
  <c r="AR34"/>
  <c r="AR33"/>
  <c r="AR32"/>
  <c r="AR31"/>
  <c r="AR30"/>
  <c r="L34"/>
  <c r="O30"/>
  <c r="U30"/>
  <c r="AQ30"/>
  <c r="AP30"/>
  <c r="O31"/>
  <c r="U31"/>
  <c r="AQ31"/>
  <c r="AP31"/>
  <c r="O32"/>
  <c r="U32"/>
  <c r="AQ32"/>
  <c r="AP32"/>
  <c r="O33"/>
  <c r="U33"/>
  <c r="AQ33"/>
  <c r="AP33"/>
  <c r="O34"/>
  <c r="U34"/>
  <c r="AQ34"/>
  <c r="AP34"/>
  <c r="O35"/>
  <c r="U35"/>
  <c r="AQ35"/>
  <c r="AP35"/>
  <c r="O36"/>
  <c r="U36"/>
  <c r="AQ36"/>
  <c r="AR36"/>
  <c r="AP36"/>
  <c r="O37"/>
  <c r="U37"/>
  <c r="AQ37"/>
  <c r="AP37"/>
  <c r="B37" i="15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N21" i="16"/>
  <c r="H21"/>
  <c r="N20"/>
  <c r="C14" i="6"/>
  <c r="E14" s="1"/>
  <c r="N17" i="16"/>
  <c r="C16" i="6"/>
  <c r="D16" s="1"/>
  <c r="N16" i="16"/>
  <c r="C20" i="6"/>
  <c r="N15" i="16"/>
  <c r="C19" i="6"/>
  <c r="E19" s="1"/>
  <c r="N14" i="16"/>
  <c r="C10" i="6"/>
  <c r="E10" s="1"/>
  <c r="N13" i="16"/>
  <c r="C13" i="6"/>
  <c r="F13" s="1"/>
  <c r="N12" i="16"/>
  <c r="C9" i="6"/>
  <c r="D9" s="1"/>
  <c r="N11" i="16"/>
  <c r="C15" i="6"/>
  <c r="F15" s="1"/>
  <c r="N10" i="16"/>
  <c r="C17" i="6"/>
  <c r="E17"/>
  <c r="M10" i="16" s="1"/>
  <c r="N9"/>
  <c r="C12" i="6"/>
  <c r="E12" s="1"/>
  <c r="D12"/>
  <c r="M9" i="11" s="1"/>
  <c r="B12" i="6"/>
  <c r="L9" i="11" s="1"/>
  <c r="J9" s="1"/>
  <c r="N8" i="16"/>
  <c r="C18" i="6"/>
  <c r="D18"/>
  <c r="N7" i="16"/>
  <c r="C11" i="6"/>
  <c r="E11" s="1"/>
  <c r="O7" i="11"/>
  <c r="O8"/>
  <c r="O9"/>
  <c r="O10"/>
  <c r="O11"/>
  <c r="O12"/>
  <c r="O13"/>
  <c r="O14"/>
  <c r="O15"/>
  <c r="O16"/>
  <c r="O17"/>
  <c r="O20"/>
  <c r="I21"/>
  <c r="O21"/>
  <c r="F12" i="6"/>
  <c r="F14"/>
  <c r="C21"/>
  <c r="B21" s="1"/>
  <c r="C22"/>
  <c r="C23"/>
  <c r="E23"/>
  <c r="C24"/>
  <c r="F24" s="1"/>
  <c r="C25"/>
  <c r="B25" s="1"/>
  <c r="C26"/>
  <c r="E26" s="1"/>
  <c r="C27"/>
  <c r="E27" s="1"/>
  <c r="C28"/>
  <c r="B28" s="1"/>
  <c r="D28"/>
  <c r="C29"/>
  <c r="F30"/>
  <c r="C31"/>
  <c r="B31" s="1"/>
  <c r="C32"/>
  <c r="D32"/>
  <c r="C33"/>
  <c r="B33" s="1"/>
  <c r="C34"/>
  <c r="B34" s="1"/>
  <c r="C35"/>
  <c r="F35" s="1"/>
  <c r="C36"/>
  <c r="B36" s="1"/>
  <c r="C37"/>
  <c r="E37" s="1"/>
  <c r="C38"/>
  <c r="AI6" i="1"/>
  <c r="AU6"/>
  <c r="AG8"/>
  <c r="AN8"/>
  <c r="AS8"/>
  <c r="AX8"/>
  <c r="AN9"/>
  <c r="AS9"/>
  <c r="AX9"/>
  <c r="AN10"/>
  <c r="AS10"/>
  <c r="AX10"/>
  <c r="AN11"/>
  <c r="AS11"/>
  <c r="AX11"/>
  <c r="AN12"/>
  <c r="AS12"/>
  <c r="AX12"/>
  <c r="AN13"/>
  <c r="AS13"/>
  <c r="AX13"/>
  <c r="AN14"/>
  <c r="AS14"/>
  <c r="AX14"/>
  <c r="AN15"/>
  <c r="AS15"/>
  <c r="AX15"/>
  <c r="AN16"/>
  <c r="AS16"/>
  <c r="AX16"/>
  <c r="AN17"/>
  <c r="AS17"/>
  <c r="AX17"/>
  <c r="AN18"/>
  <c r="AS18"/>
  <c r="AX18"/>
  <c r="AN19"/>
  <c r="AS19"/>
  <c r="AX19"/>
  <c r="AN20"/>
  <c r="AS20"/>
  <c r="AX20"/>
  <c r="AN21"/>
  <c r="AS21"/>
  <c r="AX21"/>
  <c r="AN22"/>
  <c r="AS22"/>
  <c r="AX22"/>
  <c r="AN23"/>
  <c r="AS23"/>
  <c r="AX23"/>
  <c r="AN24"/>
  <c r="AS24"/>
  <c r="AX24"/>
  <c r="AN25"/>
  <c r="AS25"/>
  <c r="AX25"/>
  <c r="AN26"/>
  <c r="AS26"/>
  <c r="AX26"/>
  <c r="AN27"/>
  <c r="AS27"/>
  <c r="AX27"/>
  <c r="AN28"/>
  <c r="AS28"/>
  <c r="AX28"/>
  <c r="AN29"/>
  <c r="AS29"/>
  <c r="AX29"/>
  <c r="C30"/>
  <c r="D30"/>
  <c r="AN30"/>
  <c r="AS30"/>
  <c r="AX30"/>
  <c r="C31"/>
  <c r="D31"/>
  <c r="AN31"/>
  <c r="AS31"/>
  <c r="AX31"/>
  <c r="C32"/>
  <c r="D32"/>
  <c r="AN32"/>
  <c r="AS32"/>
  <c r="AX32"/>
  <c r="C33"/>
  <c r="D33"/>
  <c r="AN33"/>
  <c r="AS33"/>
  <c r="AX33"/>
  <c r="B34"/>
  <c r="BV34" s="1"/>
  <c r="BW34" s="1"/>
  <c r="C34"/>
  <c r="D34"/>
  <c r="AN34"/>
  <c r="AS34"/>
  <c r="AX34"/>
  <c r="B35"/>
  <c r="BV35"/>
  <c r="BW35" s="1"/>
  <c r="C35"/>
  <c r="D35"/>
  <c r="AN35"/>
  <c r="AS35"/>
  <c r="AX35"/>
  <c r="B36"/>
  <c r="BV36" s="1"/>
  <c r="BW36" s="1"/>
  <c r="C36"/>
  <c r="D36"/>
  <c r="AN36"/>
  <c r="AS36"/>
  <c r="AX36"/>
  <c r="B37"/>
  <c r="BV37" s="1"/>
  <c r="BW37" s="1"/>
  <c r="C37"/>
  <c r="D37"/>
  <c r="AN37"/>
  <c r="AS37"/>
  <c r="AX37"/>
  <c r="D35" i="6"/>
  <c r="D31"/>
  <c r="F27"/>
  <c r="D27"/>
  <c r="F25"/>
  <c r="D25"/>
  <c r="F23"/>
  <c r="F17"/>
  <c r="F11"/>
  <c r="F9"/>
  <c r="D33"/>
  <c r="F33"/>
  <c r="E33"/>
  <c r="B32"/>
  <c r="E32"/>
  <c r="F32"/>
  <c r="K9" i="16"/>
  <c r="I9" s="1"/>
  <c r="E31" i="6"/>
  <c r="F31"/>
  <c r="L32" i="1"/>
  <c r="O20"/>
  <c r="U20"/>
  <c r="AQ20"/>
  <c r="AR20"/>
  <c r="AP24"/>
  <c r="AR24"/>
  <c r="O16"/>
  <c r="U16"/>
  <c r="AQ16"/>
  <c r="AR16"/>
  <c r="O25"/>
  <c r="U25"/>
  <c r="AQ25"/>
  <c r="AR25"/>
  <c r="O21"/>
  <c r="U21"/>
  <c r="AQ21"/>
  <c r="AR21"/>
  <c r="O13"/>
  <c r="U13"/>
  <c r="AQ13"/>
  <c r="AR13"/>
  <c r="AP8"/>
  <c r="AP11"/>
  <c r="AR11"/>
  <c r="AP28"/>
  <c r="AR28"/>
  <c r="O27"/>
  <c r="U27"/>
  <c r="AQ27"/>
  <c r="AR27"/>
  <c r="O23"/>
  <c r="U23"/>
  <c r="AQ23"/>
  <c r="AR23"/>
  <c r="O19"/>
  <c r="U19"/>
  <c r="AQ19"/>
  <c r="AR19"/>
  <c r="O15"/>
  <c r="U15"/>
  <c r="AQ15"/>
  <c r="AR15"/>
  <c r="AP12"/>
  <c r="O26"/>
  <c r="U26"/>
  <c r="AQ26"/>
  <c r="O18"/>
  <c r="U18"/>
  <c r="AQ18"/>
  <c r="AP26"/>
  <c r="AP22"/>
  <c r="AR22"/>
  <c r="AP18"/>
  <c r="AP14"/>
  <c r="AR14"/>
  <c r="AP10"/>
  <c r="AR10"/>
  <c r="B22" i="6"/>
  <c r="D22"/>
  <c r="F26"/>
  <c r="B18"/>
  <c r="K8" i="16" s="1"/>
  <c r="I8" s="1"/>
  <c r="B9" i="6"/>
  <c r="K12" i="16" s="1"/>
  <c r="I12" s="1"/>
  <c r="F38" i="6"/>
  <c r="E38"/>
  <c r="M21" i="16" s="1"/>
  <c r="B38" i="6"/>
  <c r="L21" i="11" s="1"/>
  <c r="J21" s="1"/>
  <c r="F28" i="6"/>
  <c r="B24"/>
  <c r="D24"/>
  <c r="F22"/>
  <c r="F18"/>
  <c r="E28"/>
  <c r="E22"/>
  <c r="E18"/>
  <c r="N8" i="11" s="1"/>
  <c r="E9" i="6"/>
  <c r="N12" i="11" s="1"/>
  <c r="D38" i="6"/>
  <c r="L21" i="16" s="1"/>
  <c r="L26" i="1"/>
  <c r="L15"/>
  <c r="L24"/>
  <c r="L16"/>
  <c r="L20"/>
  <c r="L13"/>
  <c r="M12" i="16"/>
  <c r="K21"/>
  <c r="I21" s="1"/>
  <c r="AR18" i="1"/>
  <c r="AR12"/>
  <c r="AJ23"/>
  <c r="AK23" s="1"/>
  <c r="AZ37"/>
  <c r="BB37" s="1"/>
  <c r="AR9"/>
  <c r="AR26"/>
  <c r="AR29"/>
  <c r="AZ23"/>
  <c r="AZ19"/>
  <c r="AZ22"/>
  <c r="AZ29"/>
  <c r="AZ26"/>
  <c r="L12" i="11"/>
  <c r="J12"/>
  <c r="D30" i="6"/>
  <c r="E30"/>
  <c r="B29"/>
  <c r="F29"/>
  <c r="E29"/>
  <c r="D29"/>
  <c r="D20"/>
  <c r="M16" i="11" s="1"/>
  <c r="E20" i="6"/>
  <c r="M16" i="16" s="1"/>
  <c r="F20" i="6"/>
  <c r="E16"/>
  <c r="N17" i="11" s="1"/>
  <c r="F16" i="6"/>
  <c r="L8" i="11"/>
  <c r="J8" s="1"/>
  <c r="B20" i="6"/>
  <c r="L16" i="11"/>
  <c r="J16" s="1"/>
  <c r="D23" i="6"/>
  <c r="B30"/>
  <c r="B23"/>
  <c r="E21"/>
  <c r="F21"/>
  <c r="D21"/>
  <c r="D10"/>
  <c r="L14" i="16"/>
  <c r="B10" i="6"/>
  <c r="L14" i="11"/>
  <c r="J14" s="1"/>
  <c r="F10" i="6"/>
  <c r="B16"/>
  <c r="L17" i="11"/>
  <c r="J17" s="1"/>
  <c r="K16" i="16"/>
  <c r="I16" s="1"/>
  <c r="M17"/>
  <c r="N16" i="11"/>
  <c r="AZ31" i="1"/>
  <c r="BB31" s="1"/>
  <c r="C31" i="14"/>
  <c r="F31" s="1"/>
  <c r="D24"/>
  <c r="C35"/>
  <c r="F35" s="1"/>
  <c r="C36"/>
  <c r="E36" s="1"/>
  <c r="C33"/>
  <c r="D33"/>
  <c r="E30"/>
  <c r="C34"/>
  <c r="F34"/>
  <c r="B24"/>
  <c r="D12" i="16"/>
  <c r="B12"/>
  <c r="C18"/>
  <c r="D18"/>
  <c r="B18"/>
  <c r="D9"/>
  <c r="B9"/>
  <c r="C9"/>
  <c r="D15"/>
  <c r="B15"/>
  <c r="C15"/>
  <c r="D21"/>
  <c r="B21"/>
  <c r="C21"/>
  <c r="AJ21" i="1"/>
  <c r="AK21" s="1"/>
  <c r="BV10"/>
  <c r="BW10"/>
  <c r="BV26"/>
  <c r="BW26" s="1"/>
  <c r="BY26" s="1"/>
  <c r="BV16"/>
  <c r="BW16"/>
  <c r="BY16" s="1"/>
  <c r="BY10"/>
  <c r="BW8"/>
  <c r="BY8"/>
  <c r="AJ28"/>
  <c r="AK28" s="1"/>
  <c r="AJ16"/>
  <c r="AK16" s="1"/>
  <c r="AR8"/>
  <c r="AJ29"/>
  <c r="AK29" s="1"/>
  <c r="AJ22"/>
  <c r="AK22" s="1"/>
  <c r="AJ27"/>
  <c r="AK27" s="1"/>
  <c r="AJ25"/>
  <c r="AK25" s="1"/>
  <c r="AJ8"/>
  <c r="AK8" s="1"/>
  <c r="AJ18"/>
  <c r="AK18" s="1"/>
  <c r="AJ19"/>
  <c r="AK19" s="1"/>
  <c r="AJ26"/>
  <c r="AK26" s="1"/>
  <c r="AJ24"/>
  <c r="AK24" s="1"/>
  <c r="AJ15"/>
  <c r="AK15" s="1"/>
  <c r="AJ17"/>
  <c r="AK17" s="1"/>
  <c r="AV26"/>
  <c r="AW26"/>
  <c r="AV31"/>
  <c r="AW31"/>
  <c r="AV32"/>
  <c r="AW32"/>
  <c r="AV17"/>
  <c r="AW17"/>
  <c r="AV8"/>
  <c r="AW8"/>
  <c r="AV15"/>
  <c r="AW15"/>
  <c r="AV11"/>
  <c r="AW11"/>
  <c r="AV23"/>
  <c r="AW23"/>
  <c r="AV19"/>
  <c r="AW19"/>
  <c r="AV33"/>
  <c r="AW33"/>
  <c r="AV16"/>
  <c r="AW16"/>
  <c r="AV27"/>
  <c r="AW27"/>
  <c r="AV18"/>
  <c r="AW18"/>
  <c r="AV13"/>
  <c r="AW13"/>
  <c r="AV30"/>
  <c r="AW30"/>
  <c r="AV9"/>
  <c r="AW9"/>
  <c r="AV34"/>
  <c r="AW34"/>
  <c r="AV21"/>
  <c r="AW21"/>
  <c r="AV14"/>
  <c r="AW14"/>
  <c r="AV12"/>
  <c r="AW12"/>
  <c r="AV25"/>
  <c r="AW25"/>
  <c r="AV10"/>
  <c r="AW10"/>
  <c r="AV35"/>
  <c r="AW35"/>
  <c r="AV24"/>
  <c r="AW24"/>
  <c r="AV22"/>
  <c r="AW22"/>
  <c r="AV28"/>
  <c r="AW28"/>
  <c r="AV36"/>
  <c r="AW36"/>
  <c r="AV20"/>
  <c r="AW20"/>
  <c r="AV29"/>
  <c r="AW29"/>
  <c r="AV37"/>
  <c r="AW37"/>
  <c r="L28"/>
  <c r="AJ20"/>
  <c r="AK20" s="1"/>
  <c r="L25"/>
  <c r="D30" i="14"/>
  <c r="L21" i="1"/>
  <c r="L19"/>
  <c r="BV19"/>
  <c r="B31" i="14"/>
  <c r="AJ11" i="1"/>
  <c r="AK11" s="1"/>
  <c r="E34" i="14"/>
  <c r="E33"/>
  <c r="D34"/>
  <c r="E24"/>
  <c r="B33"/>
  <c r="D27"/>
  <c r="E27"/>
  <c r="B27"/>
  <c r="B34"/>
  <c r="E31"/>
  <c r="D36"/>
  <c r="F33"/>
  <c r="AJ9" i="1"/>
  <c r="AK9" s="1"/>
  <c r="C37" i="14"/>
  <c r="E37" s="1"/>
  <c r="D37"/>
  <c r="AJ10" i="1"/>
  <c r="AK10" s="1"/>
  <c r="AJ13"/>
  <c r="AK13" s="1"/>
  <c r="AJ12"/>
  <c r="AK12" s="1"/>
  <c r="E32" i="14"/>
  <c r="B32"/>
  <c r="F32"/>
  <c r="D32"/>
  <c r="E38"/>
  <c r="F38"/>
  <c r="B38"/>
  <c r="D38"/>
  <c r="AJ14" i="1"/>
  <c r="AK14" s="1"/>
  <c r="D31" i="14"/>
  <c r="B36"/>
  <c r="B37"/>
  <c r="B30"/>
  <c r="AZ16" i="1"/>
  <c r="M14" i="11"/>
  <c r="BE30" i="1"/>
  <c r="BJ30"/>
  <c r="BH30"/>
  <c r="BL30"/>
  <c r="K17" i="16"/>
  <c r="I17" s="1"/>
  <c r="D11" i="6"/>
  <c r="B15"/>
  <c r="B14"/>
  <c r="K20" i="16" s="1"/>
  <c r="I20" s="1"/>
  <c r="D19" i="6"/>
  <c r="M8" i="11"/>
  <c r="L8" i="16"/>
  <c r="E25" i="6"/>
  <c r="D17"/>
  <c r="B19"/>
  <c r="D14"/>
  <c r="M20" i="11" s="1"/>
  <c r="K14" i="16"/>
  <c r="I14" s="1"/>
  <c r="M21" i="11"/>
  <c r="F36" i="6"/>
  <c r="D36"/>
  <c r="F34"/>
  <c r="D34"/>
  <c r="B11"/>
  <c r="B17"/>
  <c r="B13"/>
  <c r="K13" i="16" s="1"/>
  <c r="I13" s="1"/>
  <c r="D13" i="6"/>
  <c r="L13" i="16" s="1"/>
  <c r="BI31" i="1"/>
  <c r="BG31"/>
  <c r="BF31"/>
  <c r="BF32"/>
  <c r="BL32"/>
  <c r="BK33"/>
  <c r="BL33"/>
  <c r="BF33"/>
  <c r="BI33"/>
  <c r="BC33"/>
  <c r="BM33" s="1"/>
  <c r="BH34"/>
  <c r="BC34"/>
  <c r="BM34" s="1"/>
  <c r="BE34"/>
  <c r="BD35"/>
  <c r="BC35"/>
  <c r="BM35" s="1"/>
  <c r="BK35"/>
  <c r="BF35"/>
  <c r="BG35"/>
  <c r="BH35"/>
  <c r="BK36"/>
  <c r="BF36"/>
  <c r="BH37"/>
  <c r="BF37"/>
  <c r="BW19"/>
  <c r="BY19"/>
  <c r="V20"/>
  <c r="BA20"/>
  <c r="V28"/>
  <c r="BA28"/>
  <c r="V10"/>
  <c r="BA10"/>
  <c r="V32"/>
  <c r="BA32"/>
  <c r="V13"/>
  <c r="BA13"/>
  <c r="V9"/>
  <c r="BA9"/>
  <c r="V23"/>
  <c r="BA23"/>
  <c r="BB23" s="1"/>
  <c r="BC23" s="1"/>
  <c r="BM23" s="1"/>
  <c r="V30"/>
  <c r="BA30"/>
  <c r="V31"/>
  <c r="BA31"/>
  <c r="V16"/>
  <c r="V18"/>
  <c r="BA18"/>
  <c r="V12"/>
  <c r="BA12"/>
  <c r="V34"/>
  <c r="BA34"/>
  <c r="V35"/>
  <c r="BA35"/>
  <c r="V17"/>
  <c r="BA17"/>
  <c r="V8"/>
  <c r="V24"/>
  <c r="BA24"/>
  <c r="V19"/>
  <c r="V37"/>
  <c r="BA37"/>
  <c r="V22"/>
  <c r="BA22"/>
  <c r="BB22" s="1"/>
  <c r="BC22" s="1"/>
  <c r="BM22" s="1"/>
  <c r="V36"/>
  <c r="BA36"/>
  <c r="V26"/>
  <c r="BA26"/>
  <c r="V21"/>
  <c r="BA21"/>
  <c r="V25"/>
  <c r="BA25"/>
  <c r="V27"/>
  <c r="BA27"/>
  <c r="V33"/>
  <c r="BA33"/>
  <c r="V29"/>
  <c r="BA29"/>
  <c r="BB29" s="1"/>
  <c r="BC29" s="1"/>
  <c r="BM29" s="1"/>
  <c r="V11"/>
  <c r="BA11"/>
  <c r="V15"/>
  <c r="BA15"/>
  <c r="V14"/>
  <c r="BA14"/>
  <c r="B23" i="14"/>
  <c r="D23"/>
  <c r="E23"/>
  <c r="D20"/>
  <c r="B20"/>
  <c r="E20"/>
  <c r="D17"/>
  <c r="B17"/>
  <c r="E17"/>
  <c r="L15" i="16"/>
  <c r="M15" i="11"/>
  <c r="L11"/>
  <c r="J11"/>
  <c r="K11" i="16"/>
  <c r="I11" s="1"/>
  <c r="L7"/>
  <c r="M7" i="11"/>
  <c r="L20" i="16"/>
  <c r="M10" i="11"/>
  <c r="L10" i="16"/>
  <c r="L15" i="11"/>
  <c r="J15" s="1"/>
  <c r="K15" i="16"/>
  <c r="I15"/>
  <c r="L7" i="11"/>
  <c r="J7"/>
  <c r="K20" s="1"/>
  <c r="K7" i="16"/>
  <c r="I7"/>
  <c r="J20" s="1"/>
  <c r="M13" i="11"/>
  <c r="L10"/>
  <c r="J10"/>
  <c r="K10" i="16"/>
  <c r="I10"/>
  <c r="G38" i="9"/>
  <c r="G36"/>
  <c r="E36" s="1"/>
  <c r="G34"/>
  <c r="G32"/>
  <c r="C32" s="1"/>
  <c r="G30"/>
  <c r="D30" s="1"/>
  <c r="G28"/>
  <c r="G26"/>
  <c r="G24"/>
  <c r="F24" s="1"/>
  <c r="G22"/>
  <c r="G20"/>
  <c r="E20" s="1"/>
  <c r="G18"/>
  <c r="E18" s="1"/>
  <c r="G16"/>
  <c r="G14"/>
  <c r="G12"/>
  <c r="B12" s="1"/>
  <c r="G10"/>
  <c r="D10" s="1"/>
  <c r="G37"/>
  <c r="E37" s="1"/>
  <c r="G35"/>
  <c r="B35" s="1"/>
  <c r="G33"/>
  <c r="G31"/>
  <c r="G29"/>
  <c r="E29" s="1"/>
  <c r="G27"/>
  <c r="G25"/>
  <c r="B25" s="1"/>
  <c r="G23"/>
  <c r="D23" s="1"/>
  <c r="G21"/>
  <c r="G19"/>
  <c r="G17"/>
  <c r="C17" s="1"/>
  <c r="G15"/>
  <c r="G13"/>
  <c r="G11"/>
  <c r="C11" s="1"/>
  <c r="G9"/>
  <c r="BA19" i="1"/>
  <c r="BB19" s="1"/>
  <c r="BC19" s="1"/>
  <c r="BM19" s="1"/>
  <c r="H16" i="16"/>
  <c r="I16" i="11"/>
  <c r="G40" i="9"/>
  <c r="B41" s="1"/>
  <c r="G39"/>
  <c r="G43"/>
  <c r="G42"/>
  <c r="F42" s="1"/>
  <c r="BA8" i="1"/>
  <c r="G41" i="9"/>
  <c r="D41" s="1"/>
  <c r="BA16" i="1"/>
  <c r="I10" i="11"/>
  <c r="H10" i="16"/>
  <c r="J11"/>
  <c r="J16"/>
  <c r="J13"/>
  <c r="R13" s="1"/>
  <c r="Y13" s="1"/>
  <c r="J8"/>
  <c r="R8" s="1"/>
  <c r="Y8" s="1"/>
  <c r="J21"/>
  <c r="J12"/>
  <c r="J7"/>
  <c r="S7" s="1"/>
  <c r="J15"/>
  <c r="T15" s="1"/>
  <c r="J17"/>
  <c r="K8" i="11"/>
  <c r="S8" s="1"/>
  <c r="Z8" s="1"/>
  <c r="K14"/>
  <c r="R14" s="1"/>
  <c r="E26" i="9"/>
  <c r="D26"/>
  <c r="F26"/>
  <c r="C26"/>
  <c r="B26"/>
  <c r="D36"/>
  <c r="E10"/>
  <c r="B10"/>
  <c r="C10"/>
  <c r="B34"/>
  <c r="F34"/>
  <c r="C34"/>
  <c r="D34"/>
  <c r="E34"/>
  <c r="B9"/>
  <c r="D9"/>
  <c r="C9"/>
  <c r="E9"/>
  <c r="F9"/>
  <c r="B37"/>
  <c r="D37"/>
  <c r="F37"/>
  <c r="B24"/>
  <c r="C16"/>
  <c r="E16"/>
  <c r="D16"/>
  <c r="B16"/>
  <c r="F16"/>
  <c r="D32"/>
  <c r="F32"/>
  <c r="B32"/>
  <c r="E32"/>
  <c r="C15"/>
  <c r="E15"/>
  <c r="F15"/>
  <c r="D15"/>
  <c r="B15"/>
  <c r="B31"/>
  <c r="C31"/>
  <c r="E31"/>
  <c r="F31"/>
  <c r="D31"/>
  <c r="C42"/>
  <c r="F35"/>
  <c r="D35"/>
  <c r="C20"/>
  <c r="B20"/>
  <c r="F20"/>
  <c r="D20"/>
  <c r="C22"/>
  <c r="B22"/>
  <c r="D22"/>
  <c r="E22"/>
  <c r="F22"/>
  <c r="F14"/>
  <c r="E14"/>
  <c r="D14"/>
  <c r="B14"/>
  <c r="C14"/>
  <c r="B40"/>
  <c r="F40"/>
  <c r="F41"/>
  <c r="D21"/>
  <c r="E21"/>
  <c r="B21"/>
  <c r="F21"/>
  <c r="C21"/>
  <c r="E23"/>
  <c r="B23"/>
  <c r="F23"/>
  <c r="D33"/>
  <c r="B33"/>
  <c r="F33"/>
  <c r="E33"/>
  <c r="C33"/>
  <c r="E25"/>
  <c r="D25"/>
  <c r="C25"/>
  <c r="F25"/>
  <c r="F19"/>
  <c r="C19"/>
  <c r="D19"/>
  <c r="B19"/>
  <c r="E19"/>
  <c r="B11"/>
  <c r="E11"/>
  <c r="D11"/>
  <c r="E17"/>
  <c r="B17"/>
  <c r="F38"/>
  <c r="C38"/>
  <c r="E38"/>
  <c r="B38"/>
  <c r="D38"/>
  <c r="C18"/>
  <c r="B18"/>
  <c r="F18"/>
  <c r="D18"/>
  <c r="E27"/>
  <c r="D27"/>
  <c r="F27"/>
  <c r="C27"/>
  <c r="B27"/>
  <c r="D29"/>
  <c r="D43"/>
  <c r="F43"/>
  <c r="E28"/>
  <c r="B28"/>
  <c r="C28"/>
  <c r="D28"/>
  <c r="F28"/>
  <c r="E30"/>
  <c r="F30"/>
  <c r="C30"/>
  <c r="B30"/>
  <c r="F13"/>
  <c r="C13"/>
  <c r="D13"/>
  <c r="B13"/>
  <c r="E13"/>
  <c r="E39"/>
  <c r="B39"/>
  <c r="C39"/>
  <c r="D39"/>
  <c r="F39"/>
  <c r="M12" i="1"/>
  <c r="H13" i="16"/>
  <c r="M10" i="1"/>
  <c r="H7" i="16"/>
  <c r="U14" i="11"/>
  <c r="U8"/>
  <c r="Q12" i="16"/>
  <c r="R12"/>
  <c r="Y12" s="1"/>
  <c r="T12"/>
  <c r="S12"/>
  <c r="T8"/>
  <c r="S16"/>
  <c r="Q16"/>
  <c r="T16"/>
  <c r="R16"/>
  <c r="Y16"/>
  <c r="AC16" s="1"/>
  <c r="T17"/>
  <c r="R17"/>
  <c r="Y17"/>
  <c r="AD17" s="1"/>
  <c r="Q17"/>
  <c r="S17"/>
  <c r="R7"/>
  <c r="Y7" s="1"/>
  <c r="Q7"/>
  <c r="T7"/>
  <c r="S21"/>
  <c r="R21"/>
  <c r="Y21"/>
  <c r="AD21" s="1"/>
  <c r="Q21"/>
  <c r="T21"/>
  <c r="S13"/>
  <c r="Q13"/>
  <c r="T13"/>
  <c r="S11"/>
  <c r="R11"/>
  <c r="Y11"/>
  <c r="Z11" s="1"/>
  <c r="T11"/>
  <c r="Q11"/>
  <c r="D26" i="14"/>
  <c r="E22"/>
  <c r="D22"/>
  <c r="B22"/>
  <c r="B19"/>
  <c r="AZ12" i="1"/>
  <c r="BB12" s="1"/>
  <c r="BC12" s="1"/>
  <c r="BM12" s="1"/>
  <c r="I13" i="11"/>
  <c r="I7"/>
  <c r="B20" i="8"/>
  <c r="AZ10" i="1"/>
  <c r="BB10" s="1"/>
  <c r="BC10" s="1"/>
  <c r="BM10" s="1"/>
  <c r="D14" i="14"/>
  <c r="E11"/>
  <c r="E15"/>
  <c r="B15"/>
  <c r="D15"/>
  <c r="E14"/>
  <c r="D13"/>
  <c r="B13"/>
  <c r="E13"/>
  <c r="B12"/>
  <c r="D12"/>
  <c r="E12"/>
  <c r="E10"/>
  <c r="D10"/>
  <c r="B10"/>
  <c r="AD11" i="16"/>
  <c r="AA11"/>
  <c r="AB21"/>
  <c r="AC17"/>
  <c r="AA17"/>
  <c r="AA16"/>
  <c r="E43" i="8"/>
  <c r="B29" i="14"/>
  <c r="D29"/>
  <c r="E29"/>
  <c r="E26"/>
  <c r="B26"/>
  <c r="D28"/>
  <c r="B28"/>
  <c r="E28"/>
  <c r="E25"/>
  <c r="B25"/>
  <c r="D25"/>
  <c r="D11"/>
  <c r="E21"/>
  <c r="D21"/>
  <c r="B21"/>
  <c r="E19"/>
  <c r="D19"/>
  <c r="E18"/>
  <c r="B18"/>
  <c r="D18"/>
  <c r="D16"/>
  <c r="E16"/>
  <c r="B16"/>
  <c r="B14"/>
  <c r="C20" i="8"/>
  <c r="D20"/>
  <c r="F20"/>
  <c r="B32"/>
  <c r="D32"/>
  <c r="E32"/>
  <c r="C32"/>
  <c r="F32"/>
  <c r="C14"/>
  <c r="E14"/>
  <c r="B14"/>
  <c r="D14"/>
  <c r="F14"/>
  <c r="B11" i="14"/>
  <c r="E20" i="8"/>
  <c r="F11"/>
  <c r="D11"/>
  <c r="C11"/>
  <c r="E11"/>
  <c r="B11"/>
  <c r="D27"/>
  <c r="F27"/>
  <c r="E27"/>
  <c r="B27"/>
  <c r="C27"/>
  <c r="B9" i="14"/>
  <c r="E9"/>
  <c r="D9"/>
  <c r="C22" i="8"/>
  <c r="D22"/>
  <c r="E22"/>
  <c r="B22"/>
  <c r="F22"/>
  <c r="D17"/>
  <c r="C17"/>
  <c r="E17"/>
  <c r="F17"/>
  <c r="B17"/>
  <c r="E9"/>
  <c r="D9"/>
  <c r="B9"/>
  <c r="F9"/>
  <c r="C9"/>
  <c r="C40"/>
  <c r="B40"/>
  <c r="F40"/>
  <c r="D40"/>
  <c r="E40"/>
  <c r="D21"/>
  <c r="B21"/>
  <c r="C21"/>
  <c r="F21"/>
  <c r="E21"/>
  <c r="B31"/>
  <c r="E31"/>
  <c r="C31"/>
  <c r="D31"/>
  <c r="F31"/>
  <c r="F38"/>
  <c r="B38"/>
  <c r="D38"/>
  <c r="E38"/>
  <c r="C38"/>
  <c r="B34"/>
  <c r="C34"/>
  <c r="D34"/>
  <c r="F34"/>
  <c r="E34"/>
  <c r="F35"/>
  <c r="D35"/>
  <c r="B35"/>
  <c r="E35"/>
  <c r="C35"/>
  <c r="D42"/>
  <c r="E42"/>
  <c r="F42"/>
  <c r="C43"/>
  <c r="F43"/>
  <c r="B42"/>
  <c r="C42"/>
  <c r="B43"/>
  <c r="D33"/>
  <c r="F33"/>
  <c r="E33"/>
  <c r="B33"/>
  <c r="C33"/>
  <c r="B24"/>
  <c r="F24"/>
  <c r="D24"/>
  <c r="E24"/>
  <c r="C24"/>
  <c r="D43"/>
  <c r="F12"/>
  <c r="C12"/>
  <c r="D12"/>
  <c r="E12"/>
  <c r="B12"/>
  <c r="F23"/>
  <c r="D23"/>
  <c r="B23"/>
  <c r="C23"/>
  <c r="E23"/>
  <c r="B39"/>
  <c r="E39"/>
  <c r="C10"/>
  <c r="B10"/>
  <c r="D10"/>
  <c r="F10"/>
  <c r="E10"/>
  <c r="D41"/>
  <c r="E41"/>
  <c r="B41"/>
  <c r="F41"/>
  <c r="C41"/>
  <c r="F30"/>
  <c r="C30"/>
  <c r="D30"/>
  <c r="E30"/>
  <c r="B30"/>
  <c r="B15"/>
  <c r="E15"/>
  <c r="C15"/>
  <c r="F15"/>
  <c r="D15"/>
  <c r="F28"/>
  <c r="B28"/>
  <c r="E28"/>
  <c r="C28"/>
  <c r="D28"/>
  <c r="E36"/>
  <c r="D36"/>
  <c r="B36"/>
  <c r="F36"/>
  <c r="C36"/>
  <c r="D29"/>
  <c r="F29"/>
  <c r="C29"/>
  <c r="B29"/>
  <c r="E29"/>
  <c r="B37"/>
  <c r="C37"/>
  <c r="D37"/>
  <c r="F37"/>
  <c r="E37"/>
  <c r="F26"/>
  <c r="B26"/>
  <c r="E26"/>
  <c r="C26"/>
  <c r="D26"/>
  <c r="F16"/>
  <c r="E16"/>
  <c r="B16"/>
  <c r="D16"/>
  <c r="C16"/>
  <c r="B19"/>
  <c r="F19"/>
  <c r="E19"/>
  <c r="C19"/>
  <c r="D19"/>
  <c r="B18"/>
  <c r="E18"/>
  <c r="F18"/>
  <c r="D18"/>
  <c r="C18"/>
  <c r="C13"/>
  <c r="D13"/>
  <c r="E13"/>
  <c r="F13"/>
  <c r="B13"/>
  <c r="D25"/>
  <c r="F25"/>
  <c r="E25"/>
  <c r="B25"/>
  <c r="C25"/>
  <c r="C39"/>
  <c r="F39"/>
  <c r="D39"/>
  <c r="B15" i="12"/>
  <c r="B13"/>
  <c r="D28"/>
  <c r="E24"/>
  <c r="E14"/>
  <c r="C27"/>
  <c r="C29"/>
  <c r="H21"/>
  <c r="C12"/>
  <c r="F18"/>
  <c r="D15"/>
  <c r="I15"/>
  <c r="H15"/>
  <c r="F15"/>
  <c r="E15"/>
  <c r="J13"/>
  <c r="F13"/>
  <c r="C13"/>
  <c r="D13"/>
  <c r="J28"/>
  <c r="F28"/>
  <c r="H28"/>
  <c r="E28"/>
  <c r="F24"/>
  <c r="J24"/>
  <c r="H24"/>
  <c r="C24"/>
  <c r="B24"/>
  <c r="D14"/>
  <c r="B14"/>
  <c r="F14"/>
  <c r="B27"/>
  <c r="G27"/>
  <c r="H27"/>
  <c r="E27"/>
  <c r="E10"/>
  <c r="F10"/>
  <c r="J10"/>
  <c r="I10"/>
  <c r="E29"/>
  <c r="B29"/>
  <c r="F29"/>
  <c r="J29"/>
  <c r="H29"/>
  <c r="C21"/>
  <c r="I21"/>
  <c r="E21"/>
  <c r="F12"/>
  <c r="D12"/>
  <c r="I12"/>
  <c r="I9"/>
  <c r="B9"/>
  <c r="F9"/>
  <c r="C9"/>
  <c r="J18"/>
  <c r="B18"/>
  <c r="D18"/>
  <c r="I25"/>
  <c r="B25"/>
  <c r="C25"/>
  <c r="G25"/>
  <c r="D25"/>
  <c r="E25"/>
  <c r="J25"/>
  <c r="H25"/>
  <c r="F25"/>
  <c r="H22"/>
  <c r="G22"/>
  <c r="I22"/>
  <c r="J22"/>
  <c r="D22"/>
  <c r="C22"/>
  <c r="E22"/>
  <c r="F22"/>
  <c r="B22"/>
  <c r="E17"/>
  <c r="I17"/>
  <c r="D17"/>
  <c r="C17"/>
  <c r="B17"/>
  <c r="F17"/>
  <c r="J17"/>
  <c r="H17"/>
  <c r="B16"/>
  <c r="I16"/>
  <c r="D16"/>
  <c r="J16"/>
  <c r="F16"/>
  <c r="H16"/>
  <c r="C16"/>
  <c r="E16"/>
  <c r="E8"/>
  <c r="C8"/>
  <c r="I8"/>
  <c r="H8"/>
  <c r="F8"/>
  <c r="D8"/>
  <c r="J8"/>
  <c r="B8"/>
  <c r="G23"/>
  <c r="F23"/>
  <c r="E23"/>
  <c r="C23"/>
  <c r="J23"/>
  <c r="H23"/>
  <c r="B23"/>
  <c r="D23"/>
  <c r="I23"/>
  <c r="H20"/>
  <c r="I20"/>
  <c r="B20"/>
  <c r="J20"/>
  <c r="C20"/>
  <c r="E20"/>
  <c r="D20"/>
  <c r="F20"/>
  <c r="B26"/>
  <c r="G26"/>
  <c r="F26"/>
  <c r="E26"/>
  <c r="D26"/>
  <c r="J26"/>
  <c r="H26"/>
  <c r="I26"/>
  <c r="C26"/>
  <c r="J19"/>
  <c r="H19"/>
  <c r="F19"/>
  <c r="E19"/>
  <c r="C19"/>
  <c r="D19"/>
  <c r="I19"/>
  <c r="B19"/>
  <c r="I11"/>
  <c r="E11"/>
  <c r="H11"/>
  <c r="C11"/>
  <c r="F11"/>
  <c r="J11"/>
  <c r="D11"/>
  <c r="B11"/>
  <c r="C18"/>
  <c r="I18"/>
  <c r="E18"/>
  <c r="H18"/>
  <c r="D21"/>
  <c r="B21"/>
  <c r="J21"/>
  <c r="F21"/>
  <c r="I29"/>
  <c r="D29"/>
  <c r="G29"/>
  <c r="F27"/>
  <c r="D27"/>
  <c r="I27"/>
  <c r="J27"/>
  <c r="G24"/>
  <c r="D24"/>
  <c r="I24"/>
  <c r="C28"/>
  <c r="G28"/>
  <c r="I28"/>
  <c r="B28"/>
  <c r="H13"/>
  <c r="E13"/>
  <c r="I13"/>
  <c r="H9"/>
  <c r="D9"/>
  <c r="E9"/>
  <c r="J9"/>
  <c r="H12"/>
  <c r="B12"/>
  <c r="E12"/>
  <c r="J12"/>
  <c r="B10"/>
  <c r="C10"/>
  <c r="D10"/>
  <c r="H10"/>
  <c r="C14"/>
  <c r="H14"/>
  <c r="J14"/>
  <c r="I14"/>
  <c r="C15"/>
  <c r="J15"/>
  <c r="BC31" i="1"/>
  <c r="BM31" s="1"/>
  <c r="BL31"/>
  <c r="BD31"/>
  <c r="BH31"/>
  <c r="BC32"/>
  <c r="BM32" s="1"/>
  <c r="BI32"/>
  <c r="BH32"/>
  <c r="BJ32"/>
  <c r="BG32"/>
  <c r="BK32"/>
  <c r="BC36"/>
  <c r="BM36" s="1"/>
  <c r="BE36"/>
  <c r="BL36"/>
  <c r="BG36"/>
  <c r="BI36"/>
  <c r="BD36"/>
  <c r="BE37"/>
  <c r="BI37"/>
  <c r="BL37"/>
  <c r="BK37"/>
  <c r="BF34"/>
  <c r="BL34"/>
  <c r="BG34"/>
  <c r="BJ34"/>
  <c r="BK34"/>
  <c r="BB26" l="1"/>
  <c r="BC26" s="1"/>
  <c r="BM26" s="1"/>
  <c r="BB16"/>
  <c r="BC16" s="1"/>
  <c r="BM16" s="1"/>
  <c r="BW17"/>
  <c r="BY17" s="1"/>
  <c r="D16" i="16"/>
  <c r="C16"/>
  <c r="B16"/>
  <c r="AD8"/>
  <c r="Z8"/>
  <c r="AC8"/>
  <c r="AA8"/>
  <c r="AB8"/>
  <c r="S20" i="11"/>
  <c r="Z20" s="1"/>
  <c r="R20"/>
  <c r="U20"/>
  <c r="T20"/>
  <c r="AC12" i="16"/>
  <c r="Z12"/>
  <c r="AA12"/>
  <c r="AB12"/>
  <c r="AD12"/>
  <c r="T20"/>
  <c r="Q20"/>
  <c r="S20"/>
  <c r="R20"/>
  <c r="Y20" s="1"/>
  <c r="N7" i="11"/>
  <c r="M7" i="16"/>
  <c r="N14" i="11"/>
  <c r="M14" i="16"/>
  <c r="L17"/>
  <c r="M17" i="11"/>
  <c r="BW28" i="1"/>
  <c r="BY28"/>
  <c r="BW27"/>
  <c r="BY27" s="1"/>
  <c r="C8" i="16"/>
  <c r="B8"/>
  <c r="D8"/>
  <c r="B17"/>
  <c r="D17"/>
  <c r="C17"/>
  <c r="Z7"/>
  <c r="AB7"/>
  <c r="AD7"/>
  <c r="AA7"/>
  <c r="AC7"/>
  <c r="BY22" i="1"/>
  <c r="BW22"/>
  <c r="BW9"/>
  <c r="BY9" s="1"/>
  <c r="BY21"/>
  <c r="BW21"/>
  <c r="C11" i="16"/>
  <c r="B11"/>
  <c r="D11"/>
  <c r="D20"/>
  <c r="C20"/>
  <c r="B20"/>
  <c r="AA13"/>
  <c r="AB13"/>
  <c r="Z13"/>
  <c r="AC13"/>
  <c r="AD13"/>
  <c r="BW18" i="1"/>
  <c r="BY18"/>
  <c r="BW15"/>
  <c r="BY15" s="1"/>
  <c r="B10" i="16"/>
  <c r="D10"/>
  <c r="C10"/>
  <c r="C19"/>
  <c r="B19"/>
  <c r="D19"/>
  <c r="BW25" i="1"/>
  <c r="BY25"/>
  <c r="C7" i="16"/>
  <c r="B7"/>
  <c r="D7"/>
  <c r="AC8" i="11"/>
  <c r="AE8"/>
  <c r="AD8"/>
  <c r="AB8"/>
  <c r="AA8"/>
  <c r="M12"/>
  <c r="L12" i="16"/>
  <c r="N15" i="11"/>
  <c r="M15" i="16"/>
  <c r="N20" i="11"/>
  <c r="M20" i="16"/>
  <c r="BY20" i="1"/>
  <c r="BW20"/>
  <c r="D14" i="16"/>
  <c r="C14"/>
  <c r="N9" i="11"/>
  <c r="M9" i="16"/>
  <c r="BW23" i="1"/>
  <c r="BY23" s="1"/>
  <c r="BW11"/>
  <c r="BY11"/>
  <c r="B13" i="16"/>
  <c r="D13"/>
  <c r="C13"/>
  <c r="AD16"/>
  <c r="Z17"/>
  <c r="Z21"/>
  <c r="AC11"/>
  <c r="S15"/>
  <c r="T14" i="11"/>
  <c r="C43" i="9"/>
  <c r="F29"/>
  <c r="F17"/>
  <c r="F11"/>
  <c r="E12"/>
  <c r="C23"/>
  <c r="E40"/>
  <c r="C35"/>
  <c r="E42"/>
  <c r="D24"/>
  <c r="C37"/>
  <c r="F10"/>
  <c r="F36"/>
  <c r="K10" i="11"/>
  <c r="K7"/>
  <c r="J14" i="16"/>
  <c r="J10"/>
  <c r="L20" i="11"/>
  <c r="J20" s="1"/>
  <c r="F37" i="6"/>
  <c r="F36" i="14"/>
  <c r="L16" i="16"/>
  <c r="N21" i="11"/>
  <c r="D37" i="6"/>
  <c r="E36"/>
  <c r="E34"/>
  <c r="B10" i="13"/>
  <c r="B13"/>
  <c r="AB16" i="16"/>
  <c r="AB17"/>
  <c r="AA21"/>
  <c r="Q8"/>
  <c r="Q15"/>
  <c r="R8" i="11"/>
  <c r="S14"/>
  <c r="Z14" s="1"/>
  <c r="B43" i="9"/>
  <c r="B29"/>
  <c r="F12"/>
  <c r="E41"/>
  <c r="C40"/>
  <c r="E35"/>
  <c r="D42"/>
  <c r="E24"/>
  <c r="K13" i="11"/>
  <c r="K11"/>
  <c r="L13"/>
  <c r="J13" s="1"/>
  <c r="B35" i="14"/>
  <c r="B26" i="6"/>
  <c r="F19"/>
  <c r="B37"/>
  <c r="B35"/>
  <c r="N10" i="11"/>
  <c r="D15" i="6"/>
  <c r="E13"/>
  <c r="B12" i="13"/>
  <c r="Z16" i="16"/>
  <c r="AC21"/>
  <c r="AB11"/>
  <c r="S8"/>
  <c r="R15"/>
  <c r="Y15" s="1"/>
  <c r="T8" i="11"/>
  <c r="C29" i="9"/>
  <c r="D17"/>
  <c r="D12"/>
  <c r="C41"/>
  <c r="D40"/>
  <c r="B42"/>
  <c r="C36"/>
  <c r="K16" i="11"/>
  <c r="K21"/>
  <c r="K12"/>
  <c r="L9" i="16"/>
  <c r="D26" i="6"/>
  <c r="E35"/>
  <c r="B27"/>
  <c r="E24"/>
  <c r="E15"/>
  <c r="C12" i="9"/>
  <c r="C24"/>
  <c r="B36"/>
  <c r="K9" i="11"/>
  <c r="K15"/>
  <c r="F37" i="14"/>
  <c r="E35"/>
  <c r="D35"/>
  <c r="M8" i="16"/>
  <c r="B14" i="13"/>
  <c r="E43" i="9"/>
  <c r="K17" i="11"/>
  <c r="J9" i="16"/>
  <c r="AD27" i="1"/>
  <c r="AE27" s="1"/>
  <c r="AD9"/>
  <c r="AE9" s="1"/>
  <c r="AD29"/>
  <c r="AE29" s="1"/>
  <c r="AD18"/>
  <c r="AE18" s="1"/>
  <c r="AD21"/>
  <c r="AE21" s="1"/>
  <c r="AD26"/>
  <c r="AE26" s="1"/>
  <c r="AD10"/>
  <c r="AE10" s="1"/>
  <c r="AD22"/>
  <c r="AE22" s="1"/>
  <c r="AD16"/>
  <c r="AE16" s="1"/>
  <c r="AD19"/>
  <c r="AE19" s="1"/>
  <c r="AD24"/>
  <c r="AE24" s="1"/>
  <c r="AD8"/>
  <c r="AE8" s="1"/>
  <c r="AD11"/>
  <c r="AE11" s="1"/>
  <c r="AD13"/>
  <c r="AE13" s="1"/>
  <c r="AD25"/>
  <c r="AE25" s="1"/>
  <c r="AD12"/>
  <c r="AE12" s="1"/>
  <c r="AD15"/>
  <c r="AE15" s="1"/>
  <c r="AD23"/>
  <c r="AE23" s="1"/>
  <c r="AD14"/>
  <c r="AE14" s="1"/>
  <c r="AD17"/>
  <c r="AE17" s="1"/>
  <c r="AD20"/>
  <c r="AE20" s="1"/>
  <c r="AD28"/>
  <c r="AE28" s="1"/>
  <c r="BC37"/>
  <c r="BM37" s="1"/>
  <c r="BD37"/>
  <c r="BJ37"/>
  <c r="BG37"/>
  <c r="BI30"/>
  <c r="BG30"/>
  <c r="BF30"/>
  <c r="BK30"/>
  <c r="BD30"/>
  <c r="BC30"/>
  <c r="BM30" s="1"/>
  <c r="BD32"/>
  <c r="BE32"/>
  <c r="BH33"/>
  <c r="BJ33"/>
  <c r="BE33"/>
  <c r="BD33"/>
  <c r="BG33"/>
  <c r="BI34"/>
  <c r="BD34"/>
  <c r="BL35"/>
  <c r="BE35"/>
  <c r="BI35"/>
  <c r="BJ35"/>
  <c r="BH36"/>
  <c r="BJ36"/>
  <c r="BE31"/>
  <c r="BK31"/>
  <c r="BJ31"/>
  <c r="CA15" l="1"/>
  <c r="CB15" s="1"/>
  <c r="CA18"/>
  <c r="CB18" s="1"/>
  <c r="CA8"/>
  <c r="CB8" s="1"/>
  <c r="CA27"/>
  <c r="CB27" s="1"/>
  <c r="CA24"/>
  <c r="CB24" s="1"/>
  <c r="CA16"/>
  <c r="CB16" s="1"/>
  <c r="CA25"/>
  <c r="CB25" s="1"/>
  <c r="CA13"/>
  <c r="CB13" s="1"/>
  <c r="CA10"/>
  <c r="CB10" s="1"/>
  <c r="CA26"/>
  <c r="CB26" s="1"/>
  <c r="CA19"/>
  <c r="CB19" s="1"/>
  <c r="CA20"/>
  <c r="CB20" s="1"/>
  <c r="CA9"/>
  <c r="CB9" s="1"/>
  <c r="CA29"/>
  <c r="CB29" s="1"/>
  <c r="CA17"/>
  <c r="CB17" s="1"/>
  <c r="CA23"/>
  <c r="CB23" s="1"/>
  <c r="CA22"/>
  <c r="CB22" s="1"/>
  <c r="CA11"/>
  <c r="CB11" s="1"/>
  <c r="CA14"/>
  <c r="CB14" s="1"/>
  <c r="CA28"/>
  <c r="CB28" s="1"/>
  <c r="CA12"/>
  <c r="CB12" s="1"/>
  <c r="CA21"/>
  <c r="CB21" s="1"/>
  <c r="U17" i="11"/>
  <c r="R17"/>
  <c r="T17"/>
  <c r="S17"/>
  <c r="Z17" s="1"/>
  <c r="N11"/>
  <c r="M11" i="16"/>
  <c r="U12" i="11"/>
  <c r="R12"/>
  <c r="T12"/>
  <c r="S12"/>
  <c r="Z12" s="1"/>
  <c r="L11" i="16"/>
  <c r="M11" i="11"/>
  <c r="AC14"/>
  <c r="AD14"/>
  <c r="AB14"/>
  <c r="AE14"/>
  <c r="AA14"/>
  <c r="S14" i="16"/>
  <c r="Q14"/>
  <c r="T14"/>
  <c r="R14"/>
  <c r="Y14" s="1"/>
  <c r="S15" i="11"/>
  <c r="Z15" s="1"/>
  <c r="U15"/>
  <c r="T15"/>
  <c r="R15"/>
  <c r="R7"/>
  <c r="T7"/>
  <c r="U7"/>
  <c r="S7"/>
  <c r="Z7" s="1"/>
  <c r="S9" i="16"/>
  <c r="R9"/>
  <c r="Y9" s="1"/>
  <c r="Q9"/>
  <c r="T9"/>
  <c r="AC15"/>
  <c r="AA15"/>
  <c r="AD15"/>
  <c r="AB15"/>
  <c r="Z15"/>
  <c r="M13"/>
  <c r="N13" i="11"/>
  <c r="T10" i="16"/>
  <c r="Q10"/>
  <c r="R10"/>
  <c r="Y10" s="1"/>
  <c r="S10"/>
  <c r="U21" i="11"/>
  <c r="S21"/>
  <c r="Z21" s="1"/>
  <c r="R21"/>
  <c r="T21"/>
  <c r="R13"/>
  <c r="S13"/>
  <c r="Z13" s="1"/>
  <c r="T13"/>
  <c r="U13"/>
  <c r="AC20" i="16"/>
  <c r="AD20"/>
  <c r="AB20"/>
  <c r="Z20"/>
  <c r="AA20"/>
  <c r="AB20" i="11"/>
  <c r="AC20"/>
  <c r="AA20"/>
  <c r="AE20"/>
  <c r="AD20"/>
  <c r="AL14" i="1"/>
  <c r="AM14" s="1"/>
  <c r="U9" i="11"/>
  <c r="S9"/>
  <c r="Z9" s="1"/>
  <c r="R9"/>
  <c r="T9"/>
  <c r="S16"/>
  <c r="Z16" s="1"/>
  <c r="T16"/>
  <c r="U16"/>
  <c r="R16"/>
  <c r="T11"/>
  <c r="U11"/>
  <c r="S11"/>
  <c r="Z11" s="1"/>
  <c r="R11"/>
  <c r="S10"/>
  <c r="Z10" s="1"/>
  <c r="T10"/>
  <c r="U10"/>
  <c r="R10"/>
  <c r="AL12" i="1"/>
  <c r="AM12" s="1"/>
  <c r="AL11"/>
  <c r="AM11" s="1"/>
  <c r="AL29"/>
  <c r="AM29" s="1"/>
  <c r="AL28"/>
  <c r="AM28" s="1"/>
  <c r="AL27"/>
  <c r="AM27" s="1"/>
  <c r="AL25"/>
  <c r="AM25" s="1"/>
  <c r="AL26"/>
  <c r="AM26" s="1"/>
  <c r="AL23"/>
  <c r="AM23" s="1"/>
  <c r="AL24"/>
  <c r="AM24" s="1"/>
  <c r="AL21"/>
  <c r="AM21" s="1"/>
  <c r="AL22"/>
  <c r="AM22" s="1"/>
  <c r="AL20"/>
  <c r="AM20" s="1"/>
  <c r="AL19"/>
  <c r="AM19" s="1"/>
  <c r="AL15"/>
  <c r="AM15" s="1"/>
  <c r="AL16"/>
  <c r="AM16" s="1"/>
  <c r="AL18"/>
  <c r="AM18" s="1"/>
  <c r="AL17"/>
  <c r="AM17" s="1"/>
  <c r="AL10"/>
  <c r="AM10" s="1"/>
  <c r="AL13"/>
  <c r="AM13" s="1"/>
  <c r="AL8"/>
  <c r="AL9"/>
  <c r="AM9" s="1"/>
  <c r="AA14" i="16" l="1"/>
  <c r="AB14"/>
  <c r="Z14"/>
  <c r="AD14"/>
  <c r="AC14"/>
  <c r="AD10" i="11"/>
  <c r="AE10"/>
  <c r="AB10"/>
  <c r="AA10"/>
  <c r="AC10"/>
  <c r="AE21"/>
  <c r="AD21"/>
  <c r="AC21"/>
  <c r="AA21"/>
  <c r="AB21"/>
  <c r="AC15"/>
  <c r="AD15"/>
  <c r="AE15"/>
  <c r="AA15"/>
  <c r="AB15"/>
  <c r="AC12"/>
  <c r="AD12"/>
  <c r="AA12"/>
  <c r="AE12"/>
  <c r="AB12"/>
  <c r="AB17"/>
  <c r="AE17"/>
  <c r="AA17"/>
  <c r="AD17"/>
  <c r="AC17"/>
  <c r="AD9"/>
  <c r="AA9"/>
  <c r="AC9"/>
  <c r="AB9"/>
  <c r="AE9"/>
  <c r="AD7"/>
  <c r="AC7"/>
  <c r="AA7"/>
  <c r="AB7"/>
  <c r="AE7"/>
  <c r="AB10" i="16"/>
  <c r="Z10"/>
  <c r="AD10"/>
  <c r="AA10"/>
  <c r="AC10"/>
  <c r="AB9"/>
  <c r="AA9"/>
  <c r="Z9"/>
  <c r="AC9"/>
  <c r="AD9"/>
  <c r="AC11" i="11"/>
  <c r="AB11"/>
  <c r="AA11"/>
  <c r="AD11"/>
  <c r="AE11"/>
  <c r="AB16"/>
  <c r="AC16"/>
  <c r="AE16"/>
  <c r="AA16"/>
  <c r="AD16"/>
  <c r="AA13"/>
  <c r="AE13"/>
  <c r="AC13"/>
  <c r="AB13"/>
  <c r="AD13"/>
  <c r="AF17" i="1"/>
  <c r="M17" s="1"/>
  <c r="AF13"/>
  <c r="M13" s="1"/>
  <c r="AF11"/>
  <c r="M11" s="1"/>
  <c r="AF14"/>
  <c r="M14" s="1"/>
  <c r="AF27"/>
  <c r="M27" s="1"/>
  <c r="AF21"/>
  <c r="M21" s="1"/>
  <c r="AF20"/>
  <c r="M20" s="1"/>
  <c r="AF15"/>
  <c r="M15" s="1"/>
  <c r="AM8"/>
  <c r="AF25"/>
  <c r="M25" s="1"/>
  <c r="AF24"/>
  <c r="M24" s="1"/>
  <c r="AF18"/>
  <c r="M18" s="1"/>
  <c r="AF9"/>
  <c r="M9" s="1"/>
  <c r="AF8"/>
  <c r="M8" s="1"/>
  <c r="AF28"/>
  <c r="M28" s="1"/>
  <c r="H12" i="16" l="1"/>
  <c r="I12" i="11"/>
  <c r="G10" i="12"/>
  <c r="G9" i="13"/>
  <c r="AZ8" i="1"/>
  <c r="G13" i="13"/>
  <c r="AZ18" i="1"/>
  <c r="BB18" s="1"/>
  <c r="H15" i="16"/>
  <c r="I15" i="11"/>
  <c r="G16" i="12"/>
  <c r="AZ25" i="1"/>
  <c r="BB25" s="1"/>
  <c r="G13" i="12"/>
  <c r="I17" i="11"/>
  <c r="G17" i="12"/>
  <c r="AZ15" i="1"/>
  <c r="BB15" s="1"/>
  <c r="H17" i="16"/>
  <c r="G14" i="13"/>
  <c r="G10"/>
  <c r="AZ21" i="1"/>
  <c r="BB21" s="1"/>
  <c r="G11" i="12"/>
  <c r="AZ14" i="1"/>
  <c r="BB14" s="1"/>
  <c r="I11" i="11"/>
  <c r="G18" i="12"/>
  <c r="H11" i="16"/>
  <c r="AZ13" i="1"/>
  <c r="BB13" s="1"/>
  <c r="H20" i="16"/>
  <c r="G14" i="12"/>
  <c r="G11" i="13"/>
  <c r="I20" i="11"/>
  <c r="AZ28" i="1"/>
  <c r="BB28" s="1"/>
  <c r="G15" i="12"/>
  <c r="G12" i="13"/>
  <c r="G8"/>
  <c r="AZ9" i="1"/>
  <c r="BB9" s="1"/>
  <c r="H14" i="16"/>
  <c r="I14" i="11"/>
  <c r="G8" i="12"/>
  <c r="AZ24" i="1"/>
  <c r="BB24" s="1"/>
  <c r="G15" i="13"/>
  <c r="G19" i="12"/>
  <c r="AZ20" i="1"/>
  <c r="BB20" s="1"/>
  <c r="G12" i="12"/>
  <c r="AZ27" i="1"/>
  <c r="BB27" s="1"/>
  <c r="G9" i="12"/>
  <c r="AZ11" i="1"/>
  <c r="BB11" s="1"/>
  <c r="H9" i="16"/>
  <c r="G20" i="12"/>
  <c r="I9" i="11"/>
  <c r="AZ17" i="1"/>
  <c r="BB17" s="1"/>
  <c r="H8" i="16"/>
  <c r="I8" i="11"/>
  <c r="G21" i="12"/>
  <c r="BC17" i="1" l="1"/>
  <c r="BM17" s="1"/>
  <c r="BC24"/>
  <c r="BM24" s="1"/>
  <c r="BC9"/>
  <c r="BM9" s="1"/>
  <c r="BC28"/>
  <c r="BM28" s="1"/>
  <c r="BC11"/>
  <c r="BM11" s="1"/>
  <c r="BC27"/>
  <c r="BM27" s="1"/>
  <c r="BC20"/>
  <c r="BM20" s="1"/>
  <c r="BC13"/>
  <c r="BM13" s="1"/>
  <c r="BC14"/>
  <c r="BM14" s="1"/>
  <c r="BC21"/>
  <c r="BM21" s="1"/>
  <c r="BC15"/>
  <c r="BM15" s="1"/>
  <c r="BC25"/>
  <c r="BM25" s="1"/>
  <c r="BC18"/>
  <c r="BM18" s="1"/>
  <c r="BP27"/>
  <c r="BP18"/>
  <c r="BQ18" s="1"/>
  <c r="BP16"/>
  <c r="BP12"/>
  <c r="BQ12" s="1"/>
  <c r="BP14"/>
  <c r="BQ14" s="1"/>
  <c r="BP23"/>
  <c r="BP34"/>
  <c r="BQ34" s="1"/>
  <c r="BP31"/>
  <c r="BQ31" s="1"/>
  <c r="BP24"/>
  <c r="BP20"/>
  <c r="BP22"/>
  <c r="BQ22" s="1"/>
  <c r="BP19"/>
  <c r="BP36"/>
  <c r="BQ36" s="1"/>
  <c r="BP35"/>
  <c r="BQ35" s="1"/>
  <c r="BP10"/>
  <c r="BQ10" s="1"/>
  <c r="BP33"/>
  <c r="BQ33" s="1"/>
  <c r="BP30"/>
  <c r="BQ30" s="1"/>
  <c r="BP26"/>
  <c r="BP13"/>
  <c r="BQ13" s="1"/>
  <c r="BP15"/>
  <c r="BQ15" s="1"/>
  <c r="BP9"/>
  <c r="BQ9" s="1"/>
  <c r="BB8"/>
  <c r="BP37"/>
  <c r="BQ37" s="1"/>
  <c r="BP17"/>
  <c r="BQ17" s="1"/>
  <c r="BP11"/>
  <c r="BQ11" s="1"/>
  <c r="BP8"/>
  <c r="BQ8" s="1"/>
  <c r="BP28"/>
  <c r="BQ28" s="1"/>
  <c r="BP21"/>
  <c r="BP32"/>
  <c r="BQ32" s="1"/>
  <c r="BP29"/>
  <c r="BQ29" s="1"/>
  <c r="BP25"/>
  <c r="BQ25" s="1"/>
  <c r="BQ23" l="1"/>
  <c r="BQ19"/>
  <c r="BS19" s="1"/>
  <c r="BQ20"/>
  <c r="BQ26"/>
  <c r="BT26" s="1"/>
  <c r="BQ24"/>
  <c r="BS24" s="1"/>
  <c r="BQ16"/>
  <c r="BT16" s="1"/>
  <c r="BQ21"/>
  <c r="BT21" s="1"/>
  <c r="BT25"/>
  <c r="BR25"/>
  <c r="BS25"/>
  <c r="BR29"/>
  <c r="BT29"/>
  <c r="BS29"/>
  <c r="BR21"/>
  <c r="BT8"/>
  <c r="BS8"/>
  <c r="BR8"/>
  <c r="BR17"/>
  <c r="BT17"/>
  <c r="BS17"/>
  <c r="BD12"/>
  <c r="BE12" s="1"/>
  <c r="BD19"/>
  <c r="BE19" s="1"/>
  <c r="BD10"/>
  <c r="BE10" s="1"/>
  <c r="BD23"/>
  <c r="BE23" s="1"/>
  <c r="BD16"/>
  <c r="BE16" s="1"/>
  <c r="BD26"/>
  <c r="BE26" s="1"/>
  <c r="BC8"/>
  <c r="BM8" s="1"/>
  <c r="BD22"/>
  <c r="BE22" s="1"/>
  <c r="BD29"/>
  <c r="BE29" s="1"/>
  <c r="BT15"/>
  <c r="BS15"/>
  <c r="BR15"/>
  <c r="BR26"/>
  <c r="BR33"/>
  <c r="BT33"/>
  <c r="BS33"/>
  <c r="BT35"/>
  <c r="BR35"/>
  <c r="BS35"/>
  <c r="BR20"/>
  <c r="BS20"/>
  <c r="BT20"/>
  <c r="BS31"/>
  <c r="BR31"/>
  <c r="BT31"/>
  <c r="BT23"/>
  <c r="BR23"/>
  <c r="BS23"/>
  <c r="BT12"/>
  <c r="BR12"/>
  <c r="BS12"/>
  <c r="BT18"/>
  <c r="BR18"/>
  <c r="BS18"/>
  <c r="BD18"/>
  <c r="BE18" s="1"/>
  <c r="BD25"/>
  <c r="BE25" s="1"/>
  <c r="BD15"/>
  <c r="BE15" s="1"/>
  <c r="BD13"/>
  <c r="BE13" s="1"/>
  <c r="BD20"/>
  <c r="BE20" s="1"/>
  <c r="BD11"/>
  <c r="BE11" s="1"/>
  <c r="BD28"/>
  <c r="BE28" s="1"/>
  <c r="BD9"/>
  <c r="BD24"/>
  <c r="BE24" s="1"/>
  <c r="BR32"/>
  <c r="BT32"/>
  <c r="BS32"/>
  <c r="BT28"/>
  <c r="BR28"/>
  <c r="BS28"/>
  <c r="BR11"/>
  <c r="BS11"/>
  <c r="BT11"/>
  <c r="BS37"/>
  <c r="BR37"/>
  <c r="BT37"/>
  <c r="BS9"/>
  <c r="BT9"/>
  <c r="BR9"/>
  <c r="BR13"/>
  <c r="BS13"/>
  <c r="BT13"/>
  <c r="BR30"/>
  <c r="BT30"/>
  <c r="BS30"/>
  <c r="BS10"/>
  <c r="BR10"/>
  <c r="BT10"/>
  <c r="BR36"/>
  <c r="BT36"/>
  <c r="BS36"/>
  <c r="BR22"/>
  <c r="BT22"/>
  <c r="BS22"/>
  <c r="BT24"/>
  <c r="BT34"/>
  <c r="BS34"/>
  <c r="BR34"/>
  <c r="BS14"/>
  <c r="BT14"/>
  <c r="BR14"/>
  <c r="BQ27"/>
  <c r="BD21"/>
  <c r="BE21" s="1"/>
  <c r="BD14"/>
  <c r="BE14" s="1"/>
  <c r="BD27"/>
  <c r="BE27" s="1"/>
  <c r="BD17"/>
  <c r="BE17" s="1"/>
  <c r="BR19" l="1"/>
  <c r="BT19"/>
  <c r="BS26"/>
  <c r="BR16"/>
  <c r="BS21"/>
  <c r="BS16"/>
  <c r="BR24"/>
  <c r="BE9"/>
  <c r="BL27"/>
  <c r="BH27"/>
  <c r="BI27"/>
  <c r="BJ27"/>
  <c r="BK27"/>
  <c r="BF27"/>
  <c r="BG27"/>
  <c r="BJ21"/>
  <c r="BK21"/>
  <c r="BG21"/>
  <c r="BI21"/>
  <c r="BF21"/>
  <c r="BH21"/>
  <c r="BL21"/>
  <c r="BI24"/>
  <c r="BG24"/>
  <c r="BL24"/>
  <c r="BJ24"/>
  <c r="BH24"/>
  <c r="BK24"/>
  <c r="BF24"/>
  <c r="BG28"/>
  <c r="BI28"/>
  <c r="BH28"/>
  <c r="BK28"/>
  <c r="BL28"/>
  <c r="BF28"/>
  <c r="BJ28"/>
  <c r="BF20"/>
  <c r="BJ20"/>
  <c r="BI20"/>
  <c r="BL20"/>
  <c r="BH20"/>
  <c r="BK20"/>
  <c r="BG20"/>
  <c r="BJ15"/>
  <c r="BK15"/>
  <c r="BL15"/>
  <c r="BI15"/>
  <c r="BF15"/>
  <c r="BG15"/>
  <c r="BH15"/>
  <c r="BG18"/>
  <c r="BK18"/>
  <c r="BL18"/>
  <c r="BF18"/>
  <c r="BI18"/>
  <c r="BJ18"/>
  <c r="BH18"/>
  <c r="BG22"/>
  <c r="BF22"/>
  <c r="BI22"/>
  <c r="BK22"/>
  <c r="BH22"/>
  <c r="BL22"/>
  <c r="BJ22"/>
  <c r="BK16"/>
  <c r="BG16"/>
  <c r="BL16"/>
  <c r="BF16"/>
  <c r="BJ16"/>
  <c r="BH16"/>
  <c r="BI16"/>
  <c r="BJ10"/>
  <c r="BI10"/>
  <c r="BH10"/>
  <c r="BF10"/>
  <c r="BL10"/>
  <c r="BK10"/>
  <c r="BG10"/>
  <c r="BG12"/>
  <c r="BJ12"/>
  <c r="BF12"/>
  <c r="BK12"/>
  <c r="BI12"/>
  <c r="BL12"/>
  <c r="BH12"/>
  <c r="BL17"/>
  <c r="BG17"/>
  <c r="BJ17"/>
  <c r="BH17"/>
  <c r="BI17"/>
  <c r="BF17"/>
  <c r="BK17"/>
  <c r="BJ14"/>
  <c r="BF14"/>
  <c r="BL14"/>
  <c r="BI14"/>
  <c r="BG14"/>
  <c r="BK14"/>
  <c r="BH14"/>
  <c r="BS27"/>
  <c r="BR27"/>
  <c r="BT27"/>
  <c r="BF9"/>
  <c r="BJ9"/>
  <c r="BH9"/>
  <c r="BI9"/>
  <c r="BL9"/>
  <c r="BK9"/>
  <c r="BG9"/>
  <c r="BK11"/>
  <c r="BG11"/>
  <c r="BF11"/>
  <c r="BI11"/>
  <c r="BL11"/>
  <c r="BJ11"/>
  <c r="BH11"/>
  <c r="BH13"/>
  <c r="BF13"/>
  <c r="BJ13"/>
  <c r="BI13"/>
  <c r="BL13"/>
  <c r="BK13"/>
  <c r="BG13"/>
  <c r="BF25"/>
  <c r="BK25"/>
  <c r="BG25"/>
  <c r="BH25"/>
  <c r="BI25"/>
  <c r="BJ25"/>
  <c r="BL25"/>
  <c r="BH29"/>
  <c r="BG29"/>
  <c r="BI29"/>
  <c r="BK29"/>
  <c r="BL29"/>
  <c r="BJ29"/>
  <c r="BF29"/>
  <c r="BD8"/>
  <c r="BE8" s="1"/>
  <c r="BF26"/>
  <c r="BL26"/>
  <c r="BG26"/>
  <c r="BI26"/>
  <c r="BJ26"/>
  <c r="BK26"/>
  <c r="BH26"/>
  <c r="BF23"/>
  <c r="BL23"/>
  <c r="BI23"/>
  <c r="BK23"/>
  <c r="BJ23"/>
  <c r="BG23"/>
  <c r="BH23"/>
  <c r="BL19"/>
  <c r="BF19"/>
  <c r="BJ19"/>
  <c r="BG19"/>
  <c r="BK19"/>
  <c r="BH19"/>
  <c r="BI19"/>
  <c r="X13" l="1"/>
  <c r="X9"/>
  <c r="X32"/>
  <c r="X26"/>
  <c r="X11"/>
  <c r="X37"/>
  <c r="X21"/>
  <c r="X8"/>
  <c r="X16"/>
  <c r="X18"/>
  <c r="X23"/>
  <c r="X28"/>
  <c r="X12"/>
  <c r="X14"/>
  <c r="X27"/>
  <c r="X31"/>
  <c r="X19"/>
  <c r="X35"/>
  <c r="X30"/>
  <c r="X36"/>
  <c r="X34"/>
  <c r="X17"/>
  <c r="X25"/>
  <c r="X10"/>
  <c r="X33"/>
  <c r="X24"/>
  <c r="X20"/>
  <c r="X15"/>
  <c r="X29"/>
  <c r="X22"/>
  <c r="BH8"/>
  <c r="BF8"/>
  <c r="BI8"/>
  <c r="BL8"/>
  <c r="BJ8"/>
  <c r="BK8"/>
  <c r="BG8"/>
  <c r="K35" i="12" l="1"/>
  <c r="K33"/>
  <c r="K37"/>
  <c r="K31"/>
  <c r="K30"/>
  <c r="K32"/>
  <c r="K36"/>
  <c r="K34"/>
  <c r="D34" l="1"/>
  <c r="F34"/>
  <c r="H34"/>
  <c r="I34"/>
  <c r="E34"/>
  <c r="B34"/>
  <c r="C34"/>
  <c r="J34"/>
  <c r="G34"/>
  <c r="I32"/>
  <c r="F32"/>
  <c r="B32"/>
  <c r="E32"/>
  <c r="D32"/>
  <c r="J32"/>
  <c r="H32"/>
  <c r="C32"/>
  <c r="G32"/>
  <c r="C31"/>
  <c r="H31"/>
  <c r="B31"/>
  <c r="E31"/>
  <c r="F31"/>
  <c r="D31"/>
  <c r="J31"/>
  <c r="I31"/>
  <c r="G31"/>
  <c r="D33"/>
  <c r="I33"/>
  <c r="G33"/>
  <c r="B33"/>
  <c r="C33"/>
  <c r="E33"/>
  <c r="F33"/>
  <c r="J33"/>
  <c r="H33"/>
  <c r="B36"/>
  <c r="E36"/>
  <c r="D36"/>
  <c r="H36"/>
  <c r="J36"/>
  <c r="I36"/>
  <c r="G36"/>
  <c r="C36"/>
  <c r="F36"/>
  <c r="C30"/>
  <c r="I30"/>
  <c r="D30"/>
  <c r="E30"/>
  <c r="J30"/>
  <c r="F30"/>
  <c r="H30"/>
  <c r="B30"/>
  <c r="G30"/>
  <c r="F37"/>
  <c r="B37"/>
  <c r="G37"/>
  <c r="E37"/>
  <c r="J37"/>
  <c r="I37"/>
  <c r="C37"/>
  <c r="D37"/>
  <c r="H37"/>
  <c r="H35"/>
  <c r="F35"/>
  <c r="B35"/>
  <c r="J35"/>
  <c r="D35"/>
  <c r="E35"/>
  <c r="I35"/>
  <c r="G35"/>
  <c r="C35"/>
</calcChain>
</file>

<file path=xl/sharedStrings.xml><?xml version="1.0" encoding="utf-8"?>
<sst xmlns="http://schemas.openxmlformats.org/spreadsheetml/2006/main" count="366" uniqueCount="177">
  <si>
    <t>Startovní číslo</t>
  </si>
  <si>
    <t>Jezdec</t>
  </si>
  <si>
    <t>Kůň</t>
  </si>
  <si>
    <t>Útvar</t>
  </si>
  <si>
    <t>Soutěž č. 1</t>
  </si>
  <si>
    <t>Čas</t>
  </si>
  <si>
    <t>Body</t>
  </si>
  <si>
    <t>Soutěž č. 2</t>
  </si>
  <si>
    <t>POLICEJNÍ PARKUR</t>
  </si>
  <si>
    <t>Celkové pořadí</t>
  </si>
  <si>
    <t>VÝSLEDKOVÁ LISTINA</t>
  </si>
  <si>
    <t>STARTOVNÍ LISTINA</t>
  </si>
  <si>
    <t>Pořadí</t>
  </si>
  <si>
    <t>Pozn.</t>
  </si>
  <si>
    <t>STARTOVNÍ LISTINA SOUTŽE č. 1</t>
  </si>
  <si>
    <t>STARTOVNÍ LISTINA SOUTŽE č. 2</t>
  </si>
  <si>
    <t>PRŮBĚŽNÁ VÝSLEDKOVÁ LISTINA</t>
  </si>
  <si>
    <t>Start. číslo</t>
  </si>
  <si>
    <t>POŘ</t>
  </si>
  <si>
    <t>Trest. body</t>
  </si>
  <si>
    <t>VÝSLEDKOVÁ LISTINA MISTROVSTVÍ POLICIE ČR V JÍZDĚ NA KONI</t>
  </si>
  <si>
    <t>VÝSLEDKOVÁ LISTINA GRAND PRIX POLICIE ČR V JÍZDĚ NA KONI</t>
  </si>
  <si>
    <t>B</t>
  </si>
  <si>
    <t>STARTOVNÍ A VÝSLEDKOVÁ LISTINA VOLNÉ SOUTŽE</t>
  </si>
  <si>
    <t>SKOKOVÉ DERBY</t>
  </si>
  <si>
    <t>Trestné body</t>
  </si>
  <si>
    <t>St.č.</t>
  </si>
  <si>
    <t>1. soutěž</t>
  </si>
  <si>
    <t>2. soutěž</t>
  </si>
  <si>
    <t>CELKEM</t>
  </si>
  <si>
    <t>Pořadí startu</t>
  </si>
  <si>
    <t>Změna startovní listiny vyhrazena!</t>
  </si>
  <si>
    <t>POŘADÍ soutěž č.2</t>
  </si>
  <si>
    <t>POŘADÍ soutěž č.1</t>
  </si>
  <si>
    <t>P</t>
  </si>
  <si>
    <t>Time</t>
  </si>
  <si>
    <t>StČ</t>
  </si>
  <si>
    <t>Čas1</t>
  </si>
  <si>
    <t>Body1</t>
  </si>
  <si>
    <t>Poř1</t>
  </si>
  <si>
    <t>Čas2</t>
  </si>
  <si>
    <t>Body2</t>
  </si>
  <si>
    <t>Poř2</t>
  </si>
  <si>
    <t>Pořadí C</t>
  </si>
  <si>
    <t>St. číslo</t>
  </si>
  <si>
    <t>Určení celkového pořadí</t>
  </si>
  <si>
    <t>Startovní listina 2. soutěže (obrácené pořadí dle výsledku 1. soutěže)</t>
  </si>
  <si>
    <t>…propisuje se do "STARTOVNÍ LISTINA (2)</t>
  </si>
  <si>
    <t>Poř</t>
  </si>
  <si>
    <t>jméno</t>
  </si>
  <si>
    <t>kůň</t>
  </si>
  <si>
    <t>útvar</t>
  </si>
  <si>
    <t>…určuje se podle průběžých pořadí v jednotlivých soutěžích (1. pořadí + čas převedený do desetinného čísla)</t>
  </si>
  <si>
    <t>Policista?</t>
  </si>
  <si>
    <t>1.</t>
  </si>
  <si>
    <t>2.</t>
  </si>
  <si>
    <t>3.</t>
  </si>
  <si>
    <t>4.</t>
  </si>
  <si>
    <t>5.</t>
  </si>
  <si>
    <t>6.</t>
  </si>
  <si>
    <t>7.</t>
  </si>
  <si>
    <t>8.</t>
  </si>
  <si>
    <t>SOUTĚŽ PREZIDENTA SPORTOVNÍHO KLUBU POLICIE KOMETA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</si>
  <si>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</si>
  <si>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</si>
  <si>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</si>
  <si>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</si>
  <si>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</si>
  <si>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</si>
  <si>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</si>
  <si>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</si>
  <si>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</si>
  <si>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</si>
  <si>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</si>
  <si>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</si>
  <si>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Jezdec (kůň)</t>
  </si>
  <si>
    <t>XIV. ROČNÍK "GRAND PRIX POLICIE ČR V JÍZDĚ NA KONI"</t>
  </si>
  <si>
    <t>XV. ROČNÍK "MISTROVSTVÍ POLICIE ČR V JÍZDĚ NA KONI"</t>
  </si>
  <si>
    <t>Soutěž č. 1 – SKOKOVÉ DERBY</t>
  </si>
  <si>
    <t>stanovený čas:</t>
  </si>
  <si>
    <t>Soutěž č. 2 – POLICEJNÍ PARKUR</t>
  </si>
  <si>
    <t>soutěže č. 1 – SKOKOVÉ DERBY</t>
  </si>
  <si>
    <t>soutěže č. 2 – POLICEJNÍ PARKUR</t>
  </si>
  <si>
    <t>HRADIL Tomáš, pprap.</t>
  </si>
  <si>
    <t>ŽAGIR</t>
  </si>
  <si>
    <t>CASSIUS</t>
  </si>
  <si>
    <t>KŘP hlavního města Prahy</t>
  </si>
  <si>
    <t>KŘP Zlínského kraje</t>
  </si>
  <si>
    <t>TAJFUN</t>
  </si>
  <si>
    <t>HUBERT</t>
  </si>
  <si>
    <t>KUROPATNICKÁ Zuzana, nstržm.</t>
  </si>
  <si>
    <t>BŘEČKA Dalibor, pprap.</t>
  </si>
  <si>
    <t>POKORNÁ Hana, pprap.</t>
  </si>
  <si>
    <t>ŠEJSTAL Radek, prap.</t>
  </si>
  <si>
    <t>SLEZÁK Michal, nstržm. Ing.</t>
  </si>
  <si>
    <t>OSTŘANSKÁ Renata, nstržm.</t>
  </si>
  <si>
    <t>VYSLOUŽILOVÁ Martina, pprap.</t>
  </si>
  <si>
    <t>JOHN Přemysl, nstržm.</t>
  </si>
  <si>
    <t>LISTR</t>
  </si>
  <si>
    <t>ENRICO</t>
  </si>
  <si>
    <t>VIZIR</t>
  </si>
  <si>
    <t>PRESTIGE</t>
  </si>
  <si>
    <t>DERWISZ</t>
  </si>
  <si>
    <t>KŘP Jihomoravského kraje</t>
  </si>
  <si>
    <t>NOVÁK Tomáš, str.</t>
  </si>
  <si>
    <t>MP Ostrava</t>
  </si>
  <si>
    <t>ZEDNÍČEK Libor, str.</t>
  </si>
  <si>
    <t>SOLO PANDORA</t>
  </si>
  <si>
    <t>HORNÍK Martin, str. Ing.</t>
  </si>
  <si>
    <t>NOVÁ Ladislava, str.</t>
  </si>
  <si>
    <t>PETROVIČ Zbyněk, str.</t>
  </si>
  <si>
    <t>TRNKOVÁ Simona, str.</t>
  </si>
  <si>
    <t>MP Praha</t>
  </si>
  <si>
    <t>SACRAMOSO XANTA ALBA</t>
  </si>
  <si>
    <t>ROMKE FAVIDA</t>
  </si>
  <si>
    <t>SOLO XALA</t>
  </si>
  <si>
    <t>BUROV Roman</t>
  </si>
  <si>
    <t>BOSS (KŘP JMK)</t>
  </si>
  <si>
    <t>RUSKO, Moskva</t>
  </si>
  <si>
    <t>PILKO Stephan</t>
  </si>
  <si>
    <t>BONK Christin</t>
  </si>
  <si>
    <t>KRISTAL</t>
  </si>
  <si>
    <t>NĚMECKO, Sasko</t>
  </si>
  <si>
    <t>ZGOLA Marián, ppráp.</t>
  </si>
  <si>
    <t>LAPAZ 21</t>
  </si>
  <si>
    <t>SLOVENSKO, Košice</t>
  </si>
  <si>
    <t>MAĎARSKO</t>
  </si>
  <si>
    <t>GASPÁR György</t>
  </si>
  <si>
    <t>VELÚR</t>
  </si>
  <si>
    <t>SZIVACKI Joszef Tibor</t>
  </si>
  <si>
    <t>ELIM</t>
  </si>
  <si>
    <t>Startovní číslo dle listiny</t>
  </si>
  <si>
    <t>Čas.koef.</t>
  </si>
  <si>
    <t>Č.K.</t>
  </si>
  <si>
    <t>Č</t>
  </si>
  <si>
    <t>T.Body</t>
  </si>
  <si>
    <t>Poř.Č</t>
  </si>
  <si>
    <t>Poř.B</t>
  </si>
  <si>
    <r>
      <rPr>
        <b/>
        <sz val="9"/>
        <rFont val="Tahoma"/>
        <family val="2"/>
        <charset val="238"/>
      </rPr>
      <t xml:space="preserve">Čas.koef. </t>
    </r>
    <r>
      <rPr>
        <sz val="9"/>
        <rFont val="Tahoma"/>
        <family val="2"/>
        <charset val="238"/>
      </rPr>
      <t>… (Časový koeficient) přepočítává rozdíl skutečného a stanoveného času</t>
    </r>
  </si>
  <si>
    <r>
      <rPr>
        <b/>
        <sz val="9"/>
        <rFont val="Tahoma"/>
        <family val="2"/>
        <charset val="238"/>
      </rPr>
      <t xml:space="preserve">T.Body </t>
    </r>
    <r>
      <rPr>
        <sz val="9"/>
        <rFont val="Tahoma"/>
        <family val="2"/>
        <charset val="238"/>
      </rPr>
      <t>… (Trestné body) přepočítává získané trestné body a pořadí podle času do koeficientu</t>
    </r>
  </si>
  <si>
    <t>TBC</t>
  </si>
  <si>
    <t>RUBIN</t>
  </si>
  <si>
    <t>QUICK STEP</t>
  </si>
  <si>
    <t>SVOBODA Lukáš, nstržm.</t>
  </si>
  <si>
    <t>SANTÉ</t>
  </si>
  <si>
    <r>
      <t xml:space="preserve">Rozhodčí: </t>
    </r>
    <r>
      <rPr>
        <sz val="12"/>
        <rFont val="Tahoma"/>
        <family val="2"/>
        <charset val="238"/>
      </rPr>
      <t>mjr. Ing. Dana Kuřitková</t>
    </r>
  </si>
  <si>
    <r>
      <t xml:space="preserve">Hlavní rozhodčí: </t>
    </r>
    <r>
      <rPr>
        <sz val="12"/>
        <rFont val="Tahoma"/>
        <family val="2"/>
        <charset val="238"/>
      </rPr>
      <t>Alena Vetišková</t>
    </r>
  </si>
  <si>
    <t>Hlavní rozhodčí: Alena Vetišková</t>
  </si>
  <si>
    <r>
      <t xml:space="preserve">Hlavní rozhodčí: </t>
    </r>
    <r>
      <rPr>
        <sz val="10"/>
        <rFont val="Tahoma"/>
        <family val="2"/>
        <charset val="238"/>
      </rPr>
      <t>Alena Vetišková</t>
    </r>
  </si>
  <si>
    <r>
      <t xml:space="preserve">Rozhodčí: </t>
    </r>
    <r>
      <rPr>
        <sz val="10"/>
        <rFont val="Tahoma"/>
        <family val="2"/>
        <charset val="238"/>
      </rPr>
      <t>mjr. Ing. Dana Kuřitková</t>
    </r>
  </si>
  <si>
    <t>–</t>
  </si>
  <si>
    <t>SOLO MACARENA</t>
  </si>
  <si>
    <t>SOLO MATERA</t>
  </si>
  <si>
    <t>NOVÁ Ladislava, str. (SOLO MATERA)</t>
  </si>
  <si>
    <t>HRADIL Tomáš, pprap. (ŽAGIR)</t>
  </si>
  <si>
    <t>KUROPATNICKÁ Zuzana, nstržm. (CASSIUS)</t>
  </si>
  <si>
    <t>PETROVIČ Zbyněk, str. (ROMKE FAVIDA)</t>
  </si>
  <si>
    <t>PILKO Stephan (QUICK STEP)</t>
  </si>
  <si>
    <t>SZIVACKI Joszef Tibor (VELÚR)</t>
  </si>
  <si>
    <t>GASPÁR György (RUBIN)</t>
  </si>
  <si>
    <t>TRNKOVÁ Simona, str. (SOLO XALA)</t>
  </si>
  <si>
    <t>BUROV Roman (BOSS (KŘP JMK))</t>
  </si>
  <si>
    <t>ZGOLA Marián, ppráp. (LAPAZ 21)</t>
  </si>
  <si>
    <t>POKORNÁ Hana, pprap. (HUBERT)</t>
  </si>
  <si>
    <t>SVOBODA Lukáš, nstržm. (SANTÉ)</t>
  </si>
  <si>
    <t>BŘEČKA Dalibor, pprap. (TAJFUN)</t>
  </si>
  <si>
    <t>VYSLOUŽILOVÁ Martina, pprap. (PRESTIGE)</t>
  </si>
  <si>
    <t>ZEDNÍČEK Libor, str. (SOLO MACARENA)</t>
  </si>
  <si>
    <t>NOVÁK Tomáš, str. (SOLO PANDORA)</t>
  </si>
  <si>
    <t>BONK Christin (KRISTAL)</t>
  </si>
  <si>
    <t>OSTŘANSKÁ Renata, nstržm. (VIZIR)</t>
  </si>
  <si>
    <t>JOHN Přemysl, nstržm. (DERWISZ)</t>
  </si>
  <si>
    <t>SLEZÁK Michal, nstržm. Ing. (ENRICO)</t>
  </si>
  <si>
    <t>HORNÍK Martin, str. Ing. (SACRAMOSO XANTA ALBA)</t>
  </si>
  <si>
    <t>ŠEJSTAL Radek, prap. (LISTR)</t>
  </si>
  <si>
    <t>SCHNEIDER Silke</t>
  </si>
  <si>
    <t>Výpočet celkového pořadí - prvně body bez ELIM, pak čas v policejním parkuru!!!!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</si>
</sst>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mm:ss.0;@"/>
  </numFmts>
  <fonts count="52">
    <font>
      <sz val="12"/>
      <name val="Tahoma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20"/>
      <name val="Tahoma"/>
      <family val="2"/>
      <charset val="238"/>
    </font>
    <font>
      <sz val="2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24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10"/>
      <color indexed="9"/>
      <name val="Tahoma"/>
      <family val="2"/>
      <charset val="238"/>
    </font>
    <font>
      <i/>
      <sz val="8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color indexed="10"/>
      <name val="Tahoma"/>
      <family val="2"/>
      <charset val="238"/>
    </font>
    <font>
      <b/>
      <sz val="10"/>
      <color indexed="56"/>
      <name val="Tahoma"/>
      <family val="2"/>
      <charset val="238"/>
    </font>
    <font>
      <b/>
      <sz val="8"/>
      <color indexed="56"/>
      <name val="Tahoma"/>
      <family val="2"/>
      <charset val="238"/>
    </font>
    <font>
      <b/>
      <sz val="12"/>
      <color indexed="56"/>
      <name val="Tahoma"/>
      <family val="2"/>
      <charset val="238"/>
    </font>
    <font>
      <i/>
      <sz val="9"/>
      <name val="Tahoma"/>
      <family val="2"/>
      <charset val="238"/>
    </font>
    <font>
      <sz val="8"/>
      <name val="Tahoma"/>
      <charset val="238"/>
    </font>
    <font>
      <b/>
      <sz val="9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sz val="12"/>
      <color indexed="18"/>
      <name val="Tahoma"/>
      <family val="2"/>
      <charset val="238"/>
    </font>
    <font>
      <b/>
      <sz val="14"/>
      <color indexed="18"/>
      <name val="Tahoma"/>
      <family val="2"/>
      <charset val="238"/>
    </font>
    <font>
      <b/>
      <sz val="10"/>
      <color indexed="18"/>
      <name val="Tahoma"/>
      <family val="2"/>
      <charset val="238"/>
    </font>
    <font>
      <sz val="9"/>
      <name val="Tahoma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4">
    <xf numFmtId="0" fontId="0" fillId="0" borderId="0" xfId="0"/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24" borderId="0" xfId="0" applyFont="1" applyFill="1" applyAlignment="1">
      <alignment horizontal="centerContinuous" vertical="center"/>
    </xf>
    <xf numFmtId="0" fontId="24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Continuous" vertical="center"/>
    </xf>
    <xf numFmtId="0" fontId="21" fillId="24" borderId="0" xfId="0" applyFont="1" applyFill="1" applyAlignment="1">
      <alignment horizontal="centerContinuous" vertical="center"/>
    </xf>
    <xf numFmtId="0" fontId="22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6" fillId="24" borderId="10" xfId="0" applyFont="1" applyFill="1" applyBorder="1" applyAlignment="1">
      <alignment horizontal="centerContinuous" vertical="center"/>
    </xf>
    <xf numFmtId="0" fontId="26" fillId="24" borderId="11" xfId="0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0" xfId="0" applyFont="1" applyFill="1" applyAlignment="1">
      <alignment vertical="center"/>
    </xf>
    <xf numFmtId="0" fontId="26" fillId="24" borderId="13" xfId="0" applyFont="1" applyFill="1" applyBorder="1" applyAlignment="1">
      <alignment horizontal="centerContinuous" vertical="center"/>
    </xf>
    <xf numFmtId="0" fontId="26" fillId="24" borderId="14" xfId="0" applyFont="1" applyFill="1" applyBorder="1" applyAlignment="1">
      <alignment horizontal="centerContinuous" vertical="center"/>
    </xf>
    <xf numFmtId="0" fontId="26" fillId="24" borderId="15" xfId="0" applyFont="1" applyFill="1" applyBorder="1" applyAlignment="1">
      <alignment horizontal="centerContinuous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vertical="center"/>
    </xf>
    <xf numFmtId="0" fontId="20" fillId="24" borderId="20" xfId="0" applyFont="1" applyFill="1" applyBorder="1" applyAlignment="1" applyProtection="1">
      <alignment vertical="center"/>
      <protection locked="0"/>
    </xf>
    <xf numFmtId="0" fontId="20" fillId="24" borderId="17" xfId="0" applyFont="1" applyFill="1" applyBorder="1" applyAlignment="1" applyProtection="1">
      <alignment vertical="center"/>
      <protection locked="0"/>
    </xf>
    <xf numFmtId="0" fontId="28" fillId="24" borderId="0" xfId="0" applyFont="1" applyFill="1" applyAlignment="1" applyProtection="1">
      <alignment horizontal="centerContinuous" vertical="center"/>
    </xf>
    <xf numFmtId="0" fontId="23" fillId="24" borderId="0" xfId="0" applyFont="1" applyFill="1" applyAlignment="1" applyProtection="1">
      <alignment horizontal="centerContinuous" vertical="center"/>
    </xf>
    <xf numFmtId="0" fontId="0" fillId="24" borderId="0" xfId="0" applyFill="1" applyAlignment="1" applyProtection="1">
      <alignment horizontal="centerContinuous" vertical="center"/>
    </xf>
    <xf numFmtId="0" fontId="0" fillId="24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24" borderId="0" xfId="0" applyFont="1" applyFill="1" applyAlignment="1" applyProtection="1">
      <alignment horizontal="centerContinuous" vertical="center"/>
    </xf>
    <xf numFmtId="0" fontId="22" fillId="24" borderId="0" xfId="0" applyFont="1" applyFill="1" applyAlignment="1" applyProtection="1">
      <alignment horizontal="centerContinuous" vertical="center"/>
    </xf>
    <xf numFmtId="0" fontId="22" fillId="24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0" fillId="24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9" fillId="24" borderId="0" xfId="0" applyFont="1" applyFill="1" applyAlignment="1" applyProtection="1">
      <alignment vertical="center"/>
    </xf>
    <xf numFmtId="0" fontId="19" fillId="24" borderId="0" xfId="0" applyFont="1" applyFill="1" applyAlignment="1" applyProtection="1">
      <alignment horizontal="right" vertical="center"/>
    </xf>
    <xf numFmtId="0" fontId="19" fillId="24" borderId="23" xfId="0" applyFont="1" applyFill="1" applyBorder="1" applyAlignment="1" applyProtection="1">
      <alignment horizontal="center" vertical="center" wrapText="1"/>
    </xf>
    <xf numFmtId="0" fontId="19" fillId="24" borderId="24" xfId="0" applyFont="1" applyFill="1" applyBorder="1" applyAlignment="1" applyProtection="1">
      <alignment horizontal="center" vertical="center" wrapText="1"/>
    </xf>
    <xf numFmtId="0" fontId="19" fillId="24" borderId="25" xfId="0" applyFont="1" applyFill="1" applyBorder="1" applyAlignment="1" applyProtection="1">
      <alignment horizontal="center" vertical="center" wrapText="1"/>
    </xf>
    <xf numFmtId="0" fontId="19" fillId="24" borderId="26" xfId="0" applyFont="1" applyFill="1" applyBorder="1" applyAlignment="1" applyProtection="1">
      <alignment horizontal="center" vertical="center" wrapText="1"/>
    </xf>
    <xf numFmtId="0" fontId="20" fillId="24" borderId="19" xfId="0" applyFont="1" applyFill="1" applyBorder="1" applyAlignment="1" applyProtection="1">
      <alignment horizontal="center" vertical="center"/>
    </xf>
    <xf numFmtId="0" fontId="20" fillId="24" borderId="21" xfId="0" applyFont="1" applyFill="1" applyBorder="1" applyAlignment="1" applyProtection="1">
      <alignment horizontal="center" vertical="center"/>
    </xf>
    <xf numFmtId="0" fontId="20" fillId="24" borderId="22" xfId="0" applyFont="1" applyFill="1" applyBorder="1" applyAlignment="1" applyProtection="1">
      <alignment horizontal="center" vertical="center"/>
    </xf>
    <xf numFmtId="0" fontId="25" fillId="24" borderId="27" xfId="0" applyFont="1" applyFill="1" applyBorder="1" applyAlignment="1" applyProtection="1">
      <alignment vertical="center"/>
      <protection locked="0"/>
    </xf>
    <xf numFmtId="0" fontId="25" fillId="24" borderId="28" xfId="0" applyFont="1" applyFill="1" applyBorder="1" applyAlignment="1" applyProtection="1">
      <alignment vertical="center"/>
      <protection locked="0"/>
    </xf>
    <xf numFmtId="0" fontId="25" fillId="24" borderId="20" xfId="0" applyFont="1" applyFill="1" applyBorder="1" applyAlignment="1" applyProtection="1">
      <alignment vertical="center"/>
      <protection locked="0"/>
    </xf>
    <xf numFmtId="0" fontId="25" fillId="24" borderId="17" xfId="0" applyFont="1" applyFill="1" applyBorder="1" applyAlignment="1" applyProtection="1">
      <alignment vertical="center"/>
      <protection locked="0"/>
    </xf>
    <xf numFmtId="0" fontId="30" fillId="24" borderId="20" xfId="0" applyFont="1" applyFill="1" applyBorder="1" applyAlignment="1">
      <alignment vertical="center"/>
    </xf>
    <xf numFmtId="0" fontId="30" fillId="24" borderId="17" xfId="0" applyFont="1" applyFill="1" applyBorder="1" applyAlignment="1">
      <alignment vertical="center"/>
    </xf>
    <xf numFmtId="0" fontId="25" fillId="24" borderId="29" xfId="0" applyFont="1" applyFill="1" applyBorder="1" applyAlignment="1" applyProtection="1">
      <alignment vertical="center"/>
      <protection locked="0"/>
    </xf>
    <xf numFmtId="0" fontId="25" fillId="24" borderId="30" xfId="0" applyFont="1" applyFill="1" applyBorder="1" applyAlignment="1" applyProtection="1">
      <alignment vertical="center"/>
      <protection locked="0"/>
    </xf>
    <xf numFmtId="0" fontId="25" fillId="24" borderId="31" xfId="0" applyFont="1" applyFill="1" applyBorder="1" applyAlignment="1" applyProtection="1">
      <alignment vertical="center"/>
      <protection locked="0"/>
    </xf>
    <xf numFmtId="0" fontId="25" fillId="24" borderId="32" xfId="0" applyFont="1" applyFill="1" applyBorder="1" applyAlignment="1" applyProtection="1">
      <alignment vertical="center"/>
      <protection locked="0"/>
    </xf>
    <xf numFmtId="0" fontId="30" fillId="24" borderId="30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/>
    </xf>
    <xf numFmtId="0" fontId="19" fillId="24" borderId="21" xfId="0" applyFont="1" applyFill="1" applyBorder="1" applyAlignment="1" applyProtection="1">
      <alignment horizontal="center" vertical="center"/>
    </xf>
    <xf numFmtId="0" fontId="19" fillId="24" borderId="22" xfId="0" applyFont="1" applyFill="1" applyBorder="1" applyAlignment="1" applyProtection="1">
      <alignment horizontal="center" vertical="center"/>
    </xf>
    <xf numFmtId="0" fontId="20" fillId="24" borderId="29" xfId="0" applyFont="1" applyFill="1" applyBorder="1" applyAlignment="1" applyProtection="1">
      <alignment horizontal="center" vertical="center"/>
      <protection locked="0"/>
    </xf>
    <xf numFmtId="0" fontId="20" fillId="24" borderId="30" xfId="0" applyFont="1" applyFill="1" applyBorder="1" applyAlignment="1" applyProtection="1">
      <alignment horizontal="center" vertical="center"/>
      <protection locked="0"/>
    </xf>
    <xf numFmtId="0" fontId="20" fillId="24" borderId="30" xfId="0" applyFont="1" applyFill="1" applyBorder="1" applyAlignment="1" applyProtection="1">
      <alignment horizontal="center" vertical="center" wrapText="1"/>
      <protection locked="0"/>
    </xf>
    <xf numFmtId="164" fontId="25" fillId="24" borderId="14" xfId="0" applyNumberFormat="1" applyFont="1" applyFill="1" applyBorder="1" applyAlignment="1" applyProtection="1">
      <alignment horizontal="center" vertical="center"/>
      <protection locked="0"/>
    </xf>
    <xf numFmtId="0" fontId="25" fillId="24" borderId="27" xfId="0" applyFont="1" applyFill="1" applyBorder="1" applyAlignment="1" applyProtection="1">
      <alignment horizontal="center" vertical="center"/>
      <protection locked="0"/>
    </xf>
    <xf numFmtId="0" fontId="25" fillId="24" borderId="28" xfId="0" applyFont="1" applyFill="1" applyBorder="1" applyAlignment="1" applyProtection="1">
      <alignment horizontal="center" vertical="center"/>
      <protection locked="0"/>
    </xf>
    <xf numFmtId="164" fontId="25" fillId="24" borderId="27" xfId="0" applyNumberFormat="1" applyFont="1" applyFill="1" applyBorder="1" applyAlignment="1" applyProtection="1">
      <alignment horizontal="center" vertical="center"/>
      <protection locked="0"/>
    </xf>
    <xf numFmtId="164" fontId="25" fillId="24" borderId="28" xfId="0" applyNumberFormat="1" applyFont="1" applyFill="1" applyBorder="1" applyAlignment="1" applyProtection="1">
      <alignment horizontal="center" vertical="center"/>
      <protection locked="0"/>
    </xf>
    <xf numFmtId="0" fontId="25" fillId="24" borderId="31" xfId="0" applyFont="1" applyFill="1" applyBorder="1" applyAlignment="1" applyProtection="1">
      <alignment horizontal="center" vertical="center"/>
      <protection locked="0"/>
    </xf>
    <xf numFmtId="0" fontId="26" fillId="24" borderId="29" xfId="0" applyFont="1" applyFill="1" applyBorder="1" applyAlignment="1" applyProtection="1">
      <alignment horizontal="center" vertical="center"/>
      <protection locked="0"/>
    </xf>
    <xf numFmtId="0" fontId="26" fillId="24" borderId="30" xfId="0" applyFont="1" applyFill="1" applyBorder="1" applyAlignment="1" applyProtection="1">
      <alignment horizontal="center" vertical="center"/>
      <protection locked="0"/>
    </xf>
    <xf numFmtId="0" fontId="31" fillId="24" borderId="30" xfId="0" applyFont="1" applyFill="1" applyBorder="1" applyAlignment="1" applyProtection="1">
      <alignment horizontal="center" vertical="center" wrapText="1"/>
      <protection locked="0"/>
    </xf>
    <xf numFmtId="0" fontId="26" fillId="24" borderId="32" xfId="0" applyFont="1" applyFill="1" applyBorder="1" applyAlignment="1" applyProtection="1">
      <alignment horizontal="center" vertical="center"/>
      <protection locked="0"/>
    </xf>
    <xf numFmtId="0" fontId="25" fillId="24" borderId="27" xfId="0" applyNumberFormat="1" applyFont="1" applyFill="1" applyBorder="1" applyAlignment="1" applyProtection="1">
      <alignment horizontal="center" vertical="center"/>
      <protection locked="0"/>
    </xf>
    <xf numFmtId="0" fontId="25" fillId="24" borderId="28" xfId="0" applyNumberFormat="1" applyFont="1" applyFill="1" applyBorder="1" applyAlignment="1" applyProtection="1">
      <alignment horizontal="center" vertical="center"/>
      <protection locked="0"/>
    </xf>
    <xf numFmtId="0" fontId="25" fillId="24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vertical="center"/>
    </xf>
    <xf numFmtId="1" fontId="25" fillId="24" borderId="27" xfId="0" applyNumberFormat="1" applyFont="1" applyFill="1" applyBorder="1" applyAlignment="1" applyProtection="1">
      <alignment horizontal="center" vertical="center"/>
      <protection locked="0"/>
    </xf>
    <xf numFmtId="1" fontId="25" fillId="24" borderId="31" xfId="0" applyNumberFormat="1" applyFont="1" applyFill="1" applyBorder="1" applyAlignment="1" applyProtection="1">
      <alignment horizontal="center" vertical="center"/>
      <protection locked="0"/>
    </xf>
    <xf numFmtId="0" fontId="26" fillId="24" borderId="31" xfId="0" applyFont="1" applyFill="1" applyBorder="1" applyAlignment="1">
      <alignment horizontal="centerContinuous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Continuous" vertical="center"/>
    </xf>
    <xf numFmtId="1" fontId="26" fillId="25" borderId="37" xfId="0" applyNumberFormat="1" applyFont="1" applyFill="1" applyBorder="1" applyAlignment="1" applyProtection="1">
      <alignment horizontal="center" vertical="center"/>
      <protection locked="0"/>
    </xf>
    <xf numFmtId="1" fontId="26" fillId="25" borderId="36" xfId="0" applyNumberFormat="1" applyFont="1" applyFill="1" applyBorder="1" applyAlignment="1" applyProtection="1">
      <alignment horizontal="center" vertical="center"/>
      <protection locked="0"/>
    </xf>
    <xf numFmtId="0" fontId="26" fillId="24" borderId="38" xfId="0" applyFont="1" applyFill="1" applyBorder="1" applyAlignment="1">
      <alignment horizontal="center" vertical="center"/>
    </xf>
    <xf numFmtId="164" fontId="25" fillId="24" borderId="39" xfId="0" applyNumberFormat="1" applyFont="1" applyFill="1" applyBorder="1" applyAlignment="1" applyProtection="1">
      <alignment horizontal="center" vertical="center"/>
      <protection locked="0"/>
    </xf>
    <xf numFmtId="164" fontId="25" fillId="24" borderId="38" xfId="0" applyNumberFormat="1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>
      <alignment horizontal="centerContinuous" vertical="center"/>
    </xf>
    <xf numFmtId="1" fontId="25" fillId="24" borderId="13" xfId="0" applyNumberFormat="1" applyFont="1" applyFill="1" applyBorder="1" applyAlignment="1" applyProtection="1">
      <alignment horizontal="center" vertical="center"/>
      <protection locked="0"/>
    </xf>
    <xf numFmtId="1" fontId="25" fillId="24" borderId="16" xfId="0" applyNumberFormat="1" applyFont="1" applyFill="1" applyBorder="1" applyAlignment="1" applyProtection="1">
      <alignment horizontal="center" vertical="center"/>
      <protection locked="0"/>
    </xf>
    <xf numFmtId="0" fontId="25" fillId="24" borderId="40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Continuous" vertical="center"/>
    </xf>
    <xf numFmtId="0" fontId="26" fillId="24" borderId="44" xfId="0" applyFont="1" applyFill="1" applyBorder="1" applyAlignment="1">
      <alignment horizontal="centerContinuous" vertical="center"/>
    </xf>
    <xf numFmtId="0" fontId="26" fillId="24" borderId="19" xfId="0" applyFont="1" applyFill="1" applyBorder="1" applyAlignment="1">
      <alignment horizontal="centerContinuous" vertical="center"/>
    </xf>
    <xf numFmtId="0" fontId="26" fillId="24" borderId="29" xfId="0" applyFont="1" applyFill="1" applyBorder="1" applyAlignment="1">
      <alignment horizontal="centerContinuous" vertical="center"/>
    </xf>
    <xf numFmtId="0" fontId="26" fillId="24" borderId="45" xfId="0" applyFont="1" applyFill="1" applyBorder="1" applyAlignment="1">
      <alignment horizontal="centerContinuous" vertical="center"/>
    </xf>
    <xf numFmtId="1" fontId="25" fillId="24" borderId="46" xfId="0" applyNumberFormat="1" applyFont="1" applyFill="1" applyBorder="1" applyAlignment="1" applyProtection="1">
      <alignment horizontal="center" vertical="center"/>
      <protection locked="0"/>
    </xf>
    <xf numFmtId="1" fontId="25" fillId="24" borderId="45" xfId="0" applyNumberFormat="1" applyFont="1" applyFill="1" applyBorder="1" applyAlignment="1" applyProtection="1">
      <alignment horizontal="center" vertical="center"/>
      <protection locked="0"/>
    </xf>
    <xf numFmtId="0" fontId="26" fillId="24" borderId="47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Continuous" vertical="center"/>
    </xf>
    <xf numFmtId="164" fontId="25" fillId="24" borderId="48" xfId="0" applyNumberFormat="1" applyFont="1" applyFill="1" applyBorder="1" applyAlignment="1" applyProtection="1">
      <alignment horizontal="center" vertical="center"/>
      <protection locked="0"/>
    </xf>
    <xf numFmtId="164" fontId="25" fillId="24" borderId="47" xfId="0" applyNumberFormat="1" applyFont="1" applyFill="1" applyBorder="1" applyAlignment="1" applyProtection="1">
      <alignment horizontal="center" vertical="center"/>
      <protection locked="0"/>
    </xf>
    <xf numFmtId="164" fontId="25" fillId="24" borderId="20" xfId="0" applyNumberFormat="1" applyFont="1" applyFill="1" applyBorder="1" applyAlignment="1" applyProtection="1">
      <alignment horizontal="center" vertical="center"/>
      <protection locked="0"/>
    </xf>
    <xf numFmtId="0" fontId="26" fillId="24" borderId="49" xfId="0" applyFont="1" applyFill="1" applyBorder="1" applyAlignment="1">
      <alignment horizontal="centerContinuous" vertical="center"/>
    </xf>
    <xf numFmtId="0" fontId="26" fillId="24" borderId="50" xfId="0" applyFont="1" applyFill="1" applyBorder="1" applyAlignment="1">
      <alignment horizontal="centerContinuous" vertical="center"/>
    </xf>
    <xf numFmtId="0" fontId="26" fillId="24" borderId="51" xfId="0" applyFont="1" applyFill="1" applyBorder="1" applyAlignment="1">
      <alignment horizontal="centerContinuous" vertical="center"/>
    </xf>
    <xf numFmtId="164" fontId="25" fillId="24" borderId="17" xfId="0" applyNumberFormat="1" applyFont="1" applyFill="1" applyBorder="1" applyAlignment="1" applyProtection="1">
      <alignment horizontal="center" vertical="center"/>
      <protection locked="0"/>
    </xf>
    <xf numFmtId="0" fontId="26" fillId="24" borderId="52" xfId="0" applyFont="1" applyFill="1" applyBorder="1" applyAlignment="1">
      <alignment horizontal="centerContinuous" vertical="center"/>
    </xf>
    <xf numFmtId="0" fontId="26" fillId="24" borderId="0" xfId="0" applyFont="1" applyFill="1" applyBorder="1" applyAlignment="1">
      <alignment horizontal="centerContinuous" vertical="center"/>
    </xf>
    <xf numFmtId="0" fontId="26" fillId="24" borderId="53" xfId="0" applyFont="1" applyFill="1" applyBorder="1" applyAlignment="1">
      <alignment horizontal="centerContinuous" vertical="center"/>
    </xf>
    <xf numFmtId="0" fontId="26" fillId="24" borderId="54" xfId="0" applyFont="1" applyFill="1" applyBorder="1" applyAlignment="1">
      <alignment horizontal="centerContinuous" vertical="center"/>
    </xf>
    <xf numFmtId="0" fontId="26" fillId="24" borderId="55" xfId="0" applyFont="1" applyFill="1" applyBorder="1" applyAlignment="1">
      <alignment horizontal="centerContinuous" vertical="center"/>
    </xf>
    <xf numFmtId="0" fontId="26" fillId="24" borderId="56" xfId="0" applyFont="1" applyFill="1" applyBorder="1" applyAlignment="1">
      <alignment horizontal="centerContinuous" vertical="center"/>
    </xf>
    <xf numFmtId="21" fontId="25" fillId="0" borderId="0" xfId="0" applyNumberFormat="1" applyFont="1" applyAlignment="1">
      <alignment vertical="center"/>
    </xf>
    <xf numFmtId="0" fontId="26" fillId="24" borderId="57" xfId="0" applyFont="1" applyFill="1" applyBorder="1" applyAlignment="1">
      <alignment horizontal="centerContinuous" vertical="center"/>
    </xf>
    <xf numFmtId="21" fontId="20" fillId="0" borderId="0" xfId="0" applyNumberFormat="1" applyFont="1" applyAlignment="1">
      <alignment vertical="center"/>
    </xf>
    <xf numFmtId="0" fontId="26" fillId="24" borderId="38" xfId="0" applyFont="1" applyFill="1" applyBorder="1" applyAlignment="1">
      <alignment horizontal="centerContinuous" vertical="center"/>
    </xf>
    <xf numFmtId="1" fontId="25" fillId="25" borderId="37" xfId="0" applyNumberFormat="1" applyFont="1" applyFill="1" applyBorder="1" applyAlignment="1" applyProtection="1">
      <alignment horizontal="center" vertical="center"/>
      <protection locked="0"/>
    </xf>
    <xf numFmtId="1" fontId="25" fillId="25" borderId="36" xfId="0" applyNumberFormat="1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>
      <alignment horizontal="centerContinuous" vertical="center"/>
    </xf>
    <xf numFmtId="1" fontId="32" fillId="0" borderId="58" xfId="0" applyNumberFormat="1" applyFont="1" applyFill="1" applyBorder="1" applyAlignment="1" applyProtection="1">
      <alignment horizontal="center" vertical="center"/>
      <protection locked="0"/>
    </xf>
    <xf numFmtId="1" fontId="32" fillId="0" borderId="37" xfId="0" applyNumberFormat="1" applyFont="1" applyFill="1" applyBorder="1" applyAlignment="1" applyProtection="1">
      <alignment horizontal="center" vertical="center"/>
      <protection locked="0"/>
    </xf>
    <xf numFmtId="1" fontId="32" fillId="0" borderId="36" xfId="0" applyNumberFormat="1" applyFont="1" applyFill="1" applyBorder="1" applyAlignment="1" applyProtection="1">
      <alignment horizontal="center" vertical="center"/>
      <protection locked="0"/>
    </xf>
    <xf numFmtId="164" fontId="25" fillId="0" borderId="3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0" fillId="24" borderId="28" xfId="0" applyFont="1" applyFill="1" applyBorder="1" applyAlignment="1" applyProtection="1">
      <alignment vertical="center"/>
      <protection locked="0"/>
    </xf>
    <xf numFmtId="0" fontId="20" fillId="24" borderId="31" xfId="0" applyFont="1" applyFill="1" applyBorder="1" applyAlignment="1" applyProtection="1">
      <alignment vertical="center"/>
      <protection locked="0"/>
    </xf>
    <xf numFmtId="0" fontId="20" fillId="24" borderId="14" xfId="0" applyFont="1" applyFill="1" applyBorder="1" applyAlignment="1" applyProtection="1">
      <alignment horizontal="center" vertical="center"/>
    </xf>
    <xf numFmtId="0" fontId="20" fillId="24" borderId="20" xfId="0" applyFont="1" applyFill="1" applyBorder="1" applyAlignment="1" applyProtection="1">
      <alignment horizontal="center" vertical="center"/>
    </xf>
    <xf numFmtId="0" fontId="20" fillId="24" borderId="17" xfId="0" applyFont="1" applyFill="1" applyBorder="1" applyAlignment="1" applyProtection="1">
      <alignment horizontal="center" vertical="center"/>
    </xf>
    <xf numFmtId="0" fontId="31" fillId="24" borderId="0" xfId="0" applyFont="1" applyFill="1" applyAlignment="1" applyProtection="1">
      <alignment horizontal="right" vertical="center"/>
    </xf>
    <xf numFmtId="0" fontId="25" fillId="0" borderId="0" xfId="0" applyNumberFormat="1" applyFont="1" applyAlignment="1">
      <alignment horizontal="left" vertical="center"/>
    </xf>
    <xf numFmtId="2" fontId="25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 wrapText="1"/>
    </xf>
    <xf numFmtId="164" fontId="25" fillId="25" borderId="0" xfId="0" applyNumberFormat="1" applyFont="1" applyFill="1" applyAlignment="1">
      <alignment horizontal="center" vertical="center"/>
    </xf>
    <xf numFmtId="0" fontId="25" fillId="25" borderId="0" xfId="0" applyNumberFormat="1" applyFont="1" applyFill="1" applyAlignment="1">
      <alignment horizontal="center" vertical="center"/>
    </xf>
    <xf numFmtId="164" fontId="25" fillId="26" borderId="0" xfId="0" applyNumberFormat="1" applyFont="1" applyFill="1" applyAlignment="1">
      <alignment horizontal="center" vertical="center"/>
    </xf>
    <xf numFmtId="0" fontId="25" fillId="26" borderId="0" xfId="0" applyNumberFormat="1" applyFont="1" applyFill="1" applyAlignment="1">
      <alignment horizontal="center" vertical="center"/>
    </xf>
    <xf numFmtId="0" fontId="29" fillId="27" borderId="0" xfId="0" applyFont="1" applyFill="1" applyAlignment="1">
      <alignment vertical="center"/>
    </xf>
    <xf numFmtId="0" fontId="26" fillId="25" borderId="55" xfId="0" applyFont="1" applyFill="1" applyBorder="1" applyAlignment="1">
      <alignment vertical="center"/>
    </xf>
    <xf numFmtId="0" fontId="26" fillId="25" borderId="55" xfId="0" applyFont="1" applyFill="1" applyBorder="1" applyAlignment="1">
      <alignment horizontal="center" vertical="center" wrapText="1"/>
    </xf>
    <xf numFmtId="0" fontId="26" fillId="26" borderId="55" xfId="0" applyFont="1" applyFill="1" applyBorder="1" applyAlignment="1">
      <alignment vertical="center"/>
    </xf>
    <xf numFmtId="0" fontId="26" fillId="26" borderId="55" xfId="0" applyFont="1" applyFill="1" applyBorder="1" applyAlignment="1">
      <alignment horizontal="center" vertical="center" wrapText="1"/>
    </xf>
    <xf numFmtId="0" fontId="26" fillId="27" borderId="55" xfId="0" applyFont="1" applyFill="1" applyBorder="1" applyAlignment="1">
      <alignment vertical="center"/>
    </xf>
    <xf numFmtId="0" fontId="33" fillId="28" borderId="0" xfId="0" applyFont="1" applyFill="1" applyAlignment="1">
      <alignment vertical="center"/>
    </xf>
    <xf numFmtId="0" fontId="26" fillId="28" borderId="0" xfId="0" applyFont="1" applyFill="1" applyAlignment="1">
      <alignment vertical="center"/>
    </xf>
    <xf numFmtId="0" fontId="26" fillId="28" borderId="0" xfId="0" applyFont="1" applyFill="1" applyAlignment="1">
      <alignment horizontal="center" vertical="center"/>
    </xf>
    <xf numFmtId="0" fontId="26" fillId="28" borderId="0" xfId="0" applyFont="1" applyFill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34" fillId="25" borderId="0" xfId="0" applyFont="1" applyFill="1" applyAlignment="1">
      <alignment vertical="center"/>
    </xf>
    <xf numFmtId="0" fontId="30" fillId="25" borderId="55" xfId="0" applyFont="1" applyFill="1" applyBorder="1" applyAlignment="1">
      <alignment horizontal="center" vertical="center"/>
    </xf>
    <xf numFmtId="0" fontId="26" fillId="25" borderId="0" xfId="0" applyFont="1" applyFill="1" applyAlignment="1">
      <alignment vertical="center" wrapText="1"/>
    </xf>
    <xf numFmtId="0" fontId="26" fillId="25" borderId="0" xfId="0" applyFont="1" applyFill="1" applyAlignment="1">
      <alignment horizontal="center" vertical="center"/>
    </xf>
    <xf numFmtId="0" fontId="26" fillId="25" borderId="55" xfId="0" applyFont="1" applyFill="1" applyBorder="1" applyAlignment="1">
      <alignment vertical="center" wrapText="1"/>
    </xf>
    <xf numFmtId="0" fontId="26" fillId="25" borderId="55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vertical="center"/>
    </xf>
    <xf numFmtId="0" fontId="36" fillId="24" borderId="20" xfId="0" applyFont="1" applyFill="1" applyBorder="1" applyAlignment="1">
      <alignment vertical="center"/>
    </xf>
    <xf numFmtId="164" fontId="35" fillId="24" borderId="13" xfId="0" applyNumberFormat="1" applyFont="1" applyFill="1" applyBorder="1" applyAlignment="1" applyProtection="1">
      <alignment horizontal="center" vertical="center"/>
      <protection locked="0"/>
    </xf>
    <xf numFmtId="1" fontId="35" fillId="24" borderId="14" xfId="0" applyNumberFormat="1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center" vertical="center"/>
    </xf>
    <xf numFmtId="0" fontId="37" fillId="24" borderId="59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7" fillId="24" borderId="60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vertical="center"/>
    </xf>
    <xf numFmtId="0" fontId="38" fillId="24" borderId="20" xfId="0" applyFont="1" applyFill="1" applyBorder="1" applyAlignment="1">
      <alignment vertical="center"/>
    </xf>
    <xf numFmtId="164" fontId="37" fillId="24" borderId="13" xfId="0" applyNumberFormat="1" applyFont="1" applyFill="1" applyBorder="1" applyAlignment="1" applyProtection="1">
      <alignment horizontal="center" vertical="center"/>
      <protection locked="0"/>
    </xf>
    <xf numFmtId="1" fontId="37" fillId="24" borderId="14" xfId="0" applyNumberFormat="1" applyFont="1" applyFill="1" applyBorder="1" applyAlignment="1" applyProtection="1">
      <alignment horizontal="center" vertical="center"/>
      <protection locked="0"/>
    </xf>
    <xf numFmtId="0" fontId="37" fillId="24" borderId="21" xfId="0" applyFont="1" applyFill="1" applyBorder="1" applyAlignment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20" xfId="0" applyFont="1" applyFill="1" applyBorder="1" applyAlignment="1" applyProtection="1">
      <alignment vertical="center"/>
      <protection locked="0"/>
    </xf>
    <xf numFmtId="0" fontId="37" fillId="24" borderId="20" xfId="0" applyFont="1" applyFill="1" applyBorder="1" applyAlignment="1" applyProtection="1">
      <alignment vertical="center"/>
      <protection locked="0"/>
    </xf>
    <xf numFmtId="0" fontId="37" fillId="24" borderId="28" xfId="0" applyFont="1" applyFill="1" applyBorder="1" applyAlignment="1" applyProtection="1">
      <alignment vertical="center"/>
      <protection locked="0"/>
    </xf>
    <xf numFmtId="0" fontId="39" fillId="24" borderId="0" xfId="0" applyFont="1" applyFill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9" fillId="24" borderId="19" xfId="0" applyFont="1" applyFill="1" applyBorder="1" applyAlignment="1" applyProtection="1">
      <alignment horizontal="center" vertical="center"/>
    </xf>
    <xf numFmtId="0" fontId="26" fillId="24" borderId="60" xfId="0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1" fillId="24" borderId="21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vertical="center"/>
    </xf>
    <xf numFmtId="0" fontId="42" fillId="24" borderId="20" xfId="0" applyFont="1" applyFill="1" applyBorder="1" applyAlignment="1">
      <alignment vertical="center"/>
    </xf>
    <xf numFmtId="0" fontId="41" fillId="24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5" fillId="24" borderId="30" xfId="0" applyFont="1" applyFill="1" applyBorder="1" applyAlignment="1" applyProtection="1">
      <alignment horizontal="center" vertical="center"/>
      <protection locked="0"/>
    </xf>
    <xf numFmtId="164" fontId="37" fillId="24" borderId="27" xfId="0" applyNumberFormat="1" applyFont="1" applyFill="1" applyBorder="1" applyAlignment="1" applyProtection="1">
      <alignment horizontal="center" vertical="center"/>
      <protection locked="0"/>
    </xf>
    <xf numFmtId="0" fontId="37" fillId="24" borderId="29" xfId="0" applyFont="1" applyFill="1" applyBorder="1" applyAlignment="1" applyProtection="1">
      <alignment horizontal="center" vertical="center"/>
      <protection locked="0"/>
    </xf>
    <xf numFmtId="164" fontId="37" fillId="24" borderId="28" xfId="0" applyNumberFormat="1" applyFont="1" applyFill="1" applyBorder="1" applyAlignment="1" applyProtection="1">
      <alignment horizontal="center" vertical="center"/>
      <protection locked="0"/>
    </xf>
    <xf numFmtId="0" fontId="38" fillId="24" borderId="30" xfId="0" applyFont="1" applyFill="1" applyBorder="1" applyAlignment="1" applyProtection="1">
      <alignment horizontal="center" vertical="center" wrapText="1"/>
      <protection locked="0"/>
    </xf>
    <xf numFmtId="0" fontId="37" fillId="24" borderId="30" xfId="0" applyFont="1" applyFill="1" applyBorder="1" applyAlignment="1" applyProtection="1">
      <alignment horizontal="center" vertical="center"/>
      <protection locked="0"/>
    </xf>
    <xf numFmtId="0" fontId="26" fillId="24" borderId="61" xfId="0" applyFont="1" applyFill="1" applyBorder="1" applyAlignment="1">
      <alignment horizontal="centerContinuous" vertical="center"/>
    </xf>
    <xf numFmtId="45" fontId="27" fillId="24" borderId="62" xfId="0" applyNumberFormat="1" applyFont="1" applyFill="1" applyBorder="1" applyAlignment="1">
      <alignment horizontal="centerContinuous" vertical="center"/>
    </xf>
    <xf numFmtId="0" fontId="44" fillId="24" borderId="63" xfId="0" applyFont="1" applyFill="1" applyBorder="1" applyAlignment="1">
      <alignment horizontal="centerContinuous" vertical="center"/>
    </xf>
    <xf numFmtId="0" fontId="44" fillId="24" borderId="63" xfId="0" applyFont="1" applyFill="1" applyBorder="1" applyAlignment="1">
      <alignment horizontal="right" vertical="center"/>
    </xf>
    <xf numFmtId="45" fontId="44" fillId="24" borderId="35" xfId="0" applyNumberFormat="1" applyFont="1" applyFill="1" applyBorder="1" applyAlignment="1">
      <alignment horizontal="right" vertical="center"/>
    </xf>
    <xf numFmtId="0" fontId="22" fillId="24" borderId="20" xfId="0" applyFont="1" applyFill="1" applyBorder="1" applyAlignment="1" applyProtection="1">
      <alignment vertical="center"/>
      <protection locked="0"/>
    </xf>
    <xf numFmtId="0" fontId="20" fillId="29" borderId="21" xfId="0" applyFont="1" applyFill="1" applyBorder="1" applyAlignment="1" applyProtection="1">
      <alignment horizontal="center" vertical="center"/>
    </xf>
    <xf numFmtId="0" fontId="25" fillId="29" borderId="20" xfId="0" applyFont="1" applyFill="1" applyBorder="1" applyAlignment="1" applyProtection="1">
      <alignment vertical="center"/>
      <protection locked="0"/>
    </xf>
    <xf numFmtId="0" fontId="25" fillId="29" borderId="28" xfId="0" applyFont="1" applyFill="1" applyBorder="1" applyAlignment="1" applyProtection="1">
      <alignment vertical="center"/>
      <protection locked="0"/>
    </xf>
    <xf numFmtId="164" fontId="25" fillId="29" borderId="14" xfId="0" applyNumberFormat="1" applyFont="1" applyFill="1" applyBorder="1" applyAlignment="1" applyProtection="1">
      <alignment horizontal="center" vertical="center"/>
      <protection locked="0"/>
    </xf>
    <xf numFmtId="0" fontId="25" fillId="29" borderId="28" xfId="0" applyFont="1" applyFill="1" applyBorder="1" applyAlignment="1" applyProtection="1">
      <alignment horizontal="center" vertical="center"/>
      <protection locked="0"/>
    </xf>
    <xf numFmtId="0" fontId="20" fillId="29" borderId="30" xfId="0" applyFont="1" applyFill="1" applyBorder="1" applyAlignment="1" applyProtection="1">
      <alignment horizontal="center" vertical="center"/>
      <protection locked="0"/>
    </xf>
    <xf numFmtId="0" fontId="20" fillId="29" borderId="22" xfId="0" applyFont="1" applyFill="1" applyBorder="1" applyAlignment="1" applyProtection="1">
      <alignment horizontal="center" vertical="center"/>
    </xf>
    <xf numFmtId="0" fontId="25" fillId="29" borderId="17" xfId="0" applyFont="1" applyFill="1" applyBorder="1" applyAlignment="1" applyProtection="1">
      <alignment vertical="center"/>
      <protection locked="0"/>
    </xf>
    <xf numFmtId="0" fontId="25" fillId="29" borderId="31" xfId="0" applyFont="1" applyFill="1" applyBorder="1" applyAlignment="1" applyProtection="1">
      <alignment vertical="center"/>
      <protection locked="0"/>
    </xf>
    <xf numFmtId="164" fontId="25" fillId="29" borderId="17" xfId="0" applyNumberFormat="1" applyFont="1" applyFill="1" applyBorder="1" applyAlignment="1" applyProtection="1">
      <alignment horizontal="center" vertical="center"/>
      <protection locked="0"/>
    </xf>
    <xf numFmtId="0" fontId="25" fillId="29" borderId="31" xfId="0" applyFont="1" applyFill="1" applyBorder="1" applyAlignment="1" applyProtection="1">
      <alignment horizontal="center" vertical="center"/>
      <protection locked="0"/>
    </xf>
    <xf numFmtId="0" fontId="20" fillId="29" borderId="32" xfId="0" applyFont="1" applyFill="1" applyBorder="1" applyAlignment="1" applyProtection="1">
      <alignment horizontal="center" vertical="center"/>
      <protection locked="0"/>
    </xf>
    <xf numFmtId="0" fontId="46" fillId="24" borderId="26" xfId="0" applyFont="1" applyFill="1" applyBorder="1" applyAlignment="1" applyProtection="1">
      <alignment horizontal="center" vertical="center" wrapText="1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8" xfId="0" applyFont="1" applyFill="1" applyBorder="1" applyAlignment="1" applyProtection="1">
      <alignment vertical="center"/>
      <protection locked="0"/>
    </xf>
    <xf numFmtId="164" fontId="29" fillId="24" borderId="14" xfId="0" applyNumberFormat="1" applyFont="1" applyFill="1" applyBorder="1" applyAlignment="1" applyProtection="1">
      <alignment horizontal="center" vertical="center"/>
      <protection locked="0"/>
    </xf>
    <xf numFmtId="0" fontId="29" fillId="24" borderId="28" xfId="0" applyFont="1" applyFill="1" applyBorder="1" applyAlignment="1" applyProtection="1">
      <alignment horizontal="center" vertical="center"/>
      <protection locked="0"/>
    </xf>
    <xf numFmtId="0" fontId="39" fillId="24" borderId="29" xfId="0" applyFont="1" applyFill="1" applyBorder="1" applyAlignment="1" applyProtection="1">
      <alignment horizontal="center" vertical="center"/>
      <protection locked="0"/>
    </xf>
    <xf numFmtId="0" fontId="39" fillId="24" borderId="30" xfId="0" applyFont="1" applyFill="1" applyBorder="1" applyAlignment="1" applyProtection="1">
      <alignment horizontal="center" vertical="center"/>
      <protection locked="0"/>
    </xf>
    <xf numFmtId="0" fontId="47" fillId="24" borderId="20" xfId="0" applyFont="1" applyFill="1" applyBorder="1" applyAlignment="1" applyProtection="1">
      <alignment vertical="center"/>
      <protection locked="0"/>
    </xf>
    <xf numFmtId="0" fontId="22" fillId="29" borderId="20" xfId="0" applyFont="1" applyFill="1" applyBorder="1" applyAlignment="1" applyProtection="1">
      <alignment vertical="center"/>
      <protection locked="0"/>
    </xf>
    <xf numFmtId="0" fontId="22" fillId="29" borderId="17" xfId="0" applyFont="1" applyFill="1" applyBorder="1" applyAlignment="1" applyProtection="1">
      <alignment vertical="center"/>
      <protection locked="0"/>
    </xf>
    <xf numFmtId="164" fontId="29" fillId="24" borderId="64" xfId="0" applyNumberFormat="1" applyFont="1" applyFill="1" applyBorder="1" applyAlignment="1" applyProtection="1">
      <alignment horizontal="center" vertical="center"/>
      <protection locked="0"/>
    </xf>
    <xf numFmtId="0" fontId="29" fillId="24" borderId="27" xfId="0" applyFont="1" applyFill="1" applyBorder="1" applyAlignment="1" applyProtection="1">
      <alignment horizontal="center" vertical="center"/>
      <protection locked="0"/>
    </xf>
    <xf numFmtId="0" fontId="48" fillId="24" borderId="21" xfId="0" applyFont="1" applyFill="1" applyBorder="1" applyAlignment="1" applyProtection="1">
      <alignment horizontal="center" vertical="center"/>
    </xf>
    <xf numFmtId="0" fontId="49" fillId="24" borderId="20" xfId="0" applyFont="1" applyFill="1" applyBorder="1" applyAlignment="1" applyProtection="1">
      <alignment vertical="center"/>
      <protection locked="0"/>
    </xf>
    <xf numFmtId="0" fontId="50" fillId="24" borderId="20" xfId="0" applyFont="1" applyFill="1" applyBorder="1" applyAlignment="1" applyProtection="1">
      <alignment vertical="center"/>
      <protection locked="0"/>
    </xf>
    <xf numFmtId="0" fontId="50" fillId="24" borderId="28" xfId="0" applyFont="1" applyFill="1" applyBorder="1" applyAlignment="1" applyProtection="1">
      <alignment vertical="center"/>
      <protection locked="0"/>
    </xf>
    <xf numFmtId="164" fontId="50" fillId="24" borderId="14" xfId="0" applyNumberFormat="1" applyFont="1" applyFill="1" applyBorder="1" applyAlignment="1" applyProtection="1">
      <alignment horizontal="center" vertical="center"/>
      <protection locked="0"/>
    </xf>
    <xf numFmtId="0" fontId="50" fillId="24" borderId="28" xfId="0" applyFont="1" applyFill="1" applyBorder="1" applyAlignment="1" applyProtection="1">
      <alignment horizontal="center" vertical="center"/>
      <protection locked="0"/>
    </xf>
    <xf numFmtId="0" fontId="48" fillId="24" borderId="30" xfId="0" applyFont="1" applyFill="1" applyBorder="1" applyAlignment="1" applyProtection="1">
      <alignment horizontal="center" vertical="center"/>
      <protection locked="0"/>
    </xf>
    <xf numFmtId="0" fontId="27" fillId="24" borderId="20" xfId="0" applyFont="1" applyFill="1" applyBorder="1" applyAlignment="1">
      <alignment vertical="center"/>
    </xf>
    <xf numFmtId="0" fontId="27" fillId="24" borderId="17" xfId="0" applyFont="1" applyFill="1" applyBorder="1" applyAlignment="1">
      <alignment vertical="center"/>
    </xf>
    <xf numFmtId="0" fontId="26" fillId="24" borderId="45" xfId="0" applyFont="1" applyFill="1" applyBorder="1" applyAlignment="1">
      <alignment horizontal="center" vertical="center"/>
    </xf>
    <xf numFmtId="164" fontId="35" fillId="24" borderId="16" xfId="0" applyNumberFormat="1" applyFont="1" applyFill="1" applyBorder="1" applyAlignment="1" applyProtection="1">
      <alignment horizontal="center" vertical="center"/>
      <protection locked="0"/>
    </xf>
    <xf numFmtId="1" fontId="35" fillId="24" borderId="17" xfId="0" applyNumberFormat="1" applyFont="1" applyFill="1" applyBorder="1" applyAlignment="1" applyProtection="1">
      <alignment horizontal="center" vertical="center"/>
      <protection locked="0"/>
    </xf>
    <xf numFmtId="0" fontId="37" fillId="24" borderId="18" xfId="0" applyFont="1" applyFill="1" applyBorder="1" applyAlignment="1">
      <alignment horizontal="center" vertical="center"/>
    </xf>
    <xf numFmtId="164" fontId="37" fillId="24" borderId="16" xfId="0" applyNumberFormat="1" applyFont="1" applyFill="1" applyBorder="1" applyAlignment="1" applyProtection="1">
      <alignment horizontal="center" vertical="center"/>
      <protection locked="0"/>
    </xf>
    <xf numFmtId="1" fontId="37" fillId="24" borderId="17" xfId="0" applyNumberFormat="1" applyFont="1" applyFill="1" applyBorder="1" applyAlignment="1" applyProtection="1">
      <alignment horizontal="center" vertical="center"/>
      <protection locked="0"/>
    </xf>
    <xf numFmtId="0" fontId="37" fillId="24" borderId="65" xfId="0" applyFont="1" applyFill="1" applyBorder="1" applyAlignment="1">
      <alignment horizontal="center" vertical="center"/>
    </xf>
    <xf numFmtId="47" fontId="20" fillId="0" borderId="0" xfId="0" applyNumberFormat="1" applyFont="1" applyAlignment="1">
      <alignment vertical="center"/>
    </xf>
    <xf numFmtId="165" fontId="25" fillId="24" borderId="48" xfId="0" applyNumberFormat="1" applyFont="1" applyFill="1" applyBorder="1" applyAlignment="1" applyProtection="1">
      <alignment horizontal="center" vertical="center"/>
      <protection locked="0"/>
    </xf>
    <xf numFmtId="165" fontId="25" fillId="24" borderId="47" xfId="0" applyNumberFormat="1" applyFont="1" applyFill="1" applyBorder="1" applyAlignment="1" applyProtection="1">
      <alignment horizontal="center" vertical="center"/>
      <protection locked="0"/>
    </xf>
    <xf numFmtId="165" fontId="25" fillId="24" borderId="35" xfId="0" applyNumberFormat="1" applyFont="1" applyFill="1" applyBorder="1" applyAlignment="1" applyProtection="1">
      <alignment horizontal="center" vertical="center"/>
      <protection locked="0"/>
    </xf>
    <xf numFmtId="165" fontId="25" fillId="24" borderId="34" xfId="0" applyNumberFormat="1" applyFont="1" applyFill="1" applyBorder="1" applyAlignment="1" applyProtection="1">
      <alignment horizontal="center" vertical="center"/>
      <protection locked="0"/>
    </xf>
    <xf numFmtId="0" fontId="29" fillId="24" borderId="40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1" fontId="26" fillId="25" borderId="58" xfId="0" applyNumberFormat="1" applyFont="1" applyFill="1" applyBorder="1" applyAlignment="1" applyProtection="1">
      <alignment horizontal="center" vertical="center"/>
      <protection locked="0"/>
    </xf>
    <xf numFmtId="4" fontId="25" fillId="24" borderId="58" xfId="0" applyNumberFormat="1" applyFont="1" applyFill="1" applyBorder="1" applyAlignment="1" applyProtection="1">
      <alignment horizontal="center" vertical="center"/>
      <protection locked="0"/>
    </xf>
    <xf numFmtId="4" fontId="25" fillId="24" borderId="37" xfId="0" applyNumberFormat="1" applyFont="1" applyFill="1" applyBorder="1" applyAlignment="1" applyProtection="1">
      <alignment horizontal="center" vertical="center"/>
      <protection locked="0"/>
    </xf>
    <xf numFmtId="4" fontId="25" fillId="24" borderId="36" xfId="0" applyNumberFormat="1" applyFont="1" applyFill="1" applyBorder="1" applyAlignment="1" applyProtection="1">
      <alignment horizontal="center" vertical="center"/>
      <protection locked="0"/>
    </xf>
    <xf numFmtId="9" fontId="44" fillId="24" borderId="39" xfId="0" applyNumberFormat="1" applyFont="1" applyFill="1" applyBorder="1" applyAlignment="1">
      <alignment horizontal="center" vertical="center"/>
    </xf>
    <xf numFmtId="2" fontId="25" fillId="24" borderId="66" xfId="0" applyNumberFormat="1" applyFont="1" applyFill="1" applyBorder="1" applyAlignment="1" applyProtection="1">
      <alignment horizontal="center" vertical="center"/>
      <protection locked="0"/>
    </xf>
    <xf numFmtId="2" fontId="25" fillId="24" borderId="67" xfId="0" applyNumberFormat="1" applyFont="1" applyFill="1" applyBorder="1" applyAlignment="1" applyProtection="1">
      <alignment horizontal="center" vertical="center"/>
      <protection locked="0"/>
    </xf>
    <xf numFmtId="2" fontId="25" fillId="24" borderId="68" xfId="0" applyNumberFormat="1" applyFont="1" applyFill="1" applyBorder="1" applyAlignment="1" applyProtection="1">
      <alignment horizontal="center" vertical="center"/>
      <protection locked="0"/>
    </xf>
    <xf numFmtId="0" fontId="25" fillId="24" borderId="58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1" fontId="25" fillId="24" borderId="70" xfId="0" applyNumberFormat="1" applyFont="1" applyFill="1" applyBorder="1" applyAlignment="1" applyProtection="1">
      <alignment horizontal="center" vertical="center"/>
      <protection locked="0"/>
    </xf>
    <xf numFmtId="1" fontId="25" fillId="24" borderId="64" xfId="0" applyNumberFormat="1" applyFont="1" applyFill="1" applyBorder="1" applyAlignment="1" applyProtection="1">
      <alignment horizontal="center" vertical="center"/>
      <protection locked="0"/>
    </xf>
    <xf numFmtId="1" fontId="25" fillId="24" borderId="71" xfId="0" applyNumberFormat="1" applyFont="1" applyFill="1" applyBorder="1" applyAlignment="1" applyProtection="1">
      <alignment horizontal="center" vertical="center"/>
      <protection locked="0"/>
    </xf>
    <xf numFmtId="1" fontId="25" fillId="24" borderId="72" xfId="0" applyNumberFormat="1" applyFont="1" applyFill="1" applyBorder="1" applyAlignment="1" applyProtection="1">
      <alignment horizontal="center" vertical="center"/>
      <protection locked="0"/>
    </xf>
    <xf numFmtId="1" fontId="25" fillId="24" borderId="20" xfId="0" applyNumberFormat="1" applyFont="1" applyFill="1" applyBorder="1" applyAlignment="1" applyProtection="1">
      <alignment horizontal="center" vertical="center"/>
      <protection locked="0"/>
    </xf>
    <xf numFmtId="1" fontId="25" fillId="24" borderId="73" xfId="0" applyNumberFormat="1" applyFont="1" applyFill="1" applyBorder="1" applyAlignment="1" applyProtection="1">
      <alignment horizontal="center" vertical="center"/>
      <protection locked="0"/>
    </xf>
    <xf numFmtId="1" fontId="25" fillId="24" borderId="17" xfId="0" applyNumberFormat="1" applyFont="1" applyFill="1" applyBorder="1" applyAlignment="1" applyProtection="1">
      <alignment horizontal="center" vertical="center"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26" fillId="24" borderId="0" xfId="0" applyFont="1" applyFill="1" applyAlignment="1" applyProtection="1">
      <alignment vertical="center"/>
    </xf>
    <xf numFmtId="0" fontId="26" fillId="24" borderId="0" xfId="0" applyFont="1" applyFill="1" applyAlignment="1" applyProtection="1">
      <alignment horizontal="right" vertical="center"/>
    </xf>
    <xf numFmtId="0" fontId="20" fillId="0" borderId="0" xfId="0" applyNumberFormat="1" applyFont="1" applyAlignment="1">
      <alignment vertical="center"/>
    </xf>
    <xf numFmtId="0" fontId="20" fillId="0" borderId="22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31" xfId="0" applyFont="1" applyFill="1" applyBorder="1" applyAlignment="1" applyProtection="1">
      <alignment vertical="center"/>
      <protection locked="0"/>
    </xf>
    <xf numFmtId="164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Alignment="1">
      <alignment vertical="center"/>
    </xf>
    <xf numFmtId="0" fontId="26" fillId="30" borderId="0" xfId="0" applyFont="1" applyFill="1" applyAlignment="1">
      <alignment vertical="center"/>
    </xf>
    <xf numFmtId="1" fontId="25" fillId="30" borderId="0" xfId="0" applyNumberFormat="1" applyFont="1" applyFill="1" applyAlignment="1">
      <alignment vertical="center"/>
    </xf>
    <xf numFmtId="0" fontId="26" fillId="24" borderId="74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75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64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76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11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104775</xdr:rowOff>
    </xdr:to>
    <xdr:pic>
      <xdr:nvPicPr>
        <xdr:cNvPr id="369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342900</xdr:rowOff>
    </xdr:to>
    <xdr:pic>
      <xdr:nvPicPr>
        <xdr:cNvPr id="677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342900</xdr:rowOff>
    </xdr:to>
    <xdr:pic>
      <xdr:nvPicPr>
        <xdr:cNvPr id="1462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114300</xdr:rowOff>
    </xdr:to>
    <xdr:pic>
      <xdr:nvPicPr>
        <xdr:cNvPr id="1162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104775</xdr:rowOff>
    </xdr:to>
    <xdr:pic>
      <xdr:nvPicPr>
        <xdr:cNvPr id="1557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104775</xdr:rowOff>
    </xdr:to>
    <xdr:pic>
      <xdr:nvPicPr>
        <xdr:cNvPr id="1748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3</xdr:row>
      <xdr:rowOff>0</xdr:rowOff>
    </xdr:to>
    <xdr:pic>
      <xdr:nvPicPr>
        <xdr:cNvPr id="2931" name="Picture 12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333375</xdr:rowOff>
    </xdr:to>
    <xdr:pic>
      <xdr:nvPicPr>
        <xdr:cNvPr id="920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333375</xdr:rowOff>
    </xdr:to>
    <xdr:pic>
      <xdr:nvPicPr>
        <xdr:cNvPr id="920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333375</xdr:rowOff>
    </xdr:to>
    <xdr:pic>
      <xdr:nvPicPr>
        <xdr:cNvPr id="9690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2</xdr:row>
      <xdr:rowOff>114300</xdr:rowOff>
    </xdr:to>
    <xdr:pic>
      <xdr:nvPicPr>
        <xdr:cNvPr id="1655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3</xdr:row>
      <xdr:rowOff>0</xdr:rowOff>
    </xdr:to>
    <xdr:pic>
      <xdr:nvPicPr>
        <xdr:cNvPr id="13620" name="Picture 12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3</xdr:row>
      <xdr:rowOff>19050</xdr:rowOff>
    </xdr:to>
    <xdr:pic>
      <xdr:nvPicPr>
        <xdr:cNvPr id="12600" name="Picture 12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  <pageSetUpPr fitToPage="1"/>
  </sheetPr>
  <dimension ref="A1:HV74"/>
  <sheetViews>
    <sheetView zoomScale="70" zoomScaleNormal="70" workbookViewId="0">
      <selection activeCell="B34" sqref="B34"/>
    </sheetView>
  </sheetViews>
  <sheetFormatPr defaultColWidth="0" defaultRowHeight="15" zeroHeight="1"/>
  <cols>
    <col min="1" max="1" width="9.77734375" style="33" customWidth="1"/>
    <col min="2" max="2" width="35.77734375" style="33" customWidth="1"/>
    <col min="3" max="3" width="25.77734375" style="33" customWidth="1"/>
    <col min="4" max="4" width="27.77734375" style="33" bestFit="1" customWidth="1"/>
    <col min="5" max="5" width="8.77734375" style="33" customWidth="1"/>
    <col min="6" max="6" width="1.77734375" style="33" customWidth="1"/>
    <col min="7" max="230" width="8.88671875" style="34" hidden="1" customWidth="1"/>
    <col min="231" max="16384" width="0" style="34" hidden="1"/>
  </cols>
  <sheetData>
    <row r="1" spans="1:6" ht="30">
      <c r="A1" s="30" t="s">
        <v>11</v>
      </c>
      <c r="B1" s="31"/>
      <c r="C1" s="31"/>
      <c r="D1" s="31"/>
      <c r="E1" s="32"/>
    </row>
    <row r="2" spans="1:6" s="38" customFormat="1" ht="18">
      <c r="A2" s="35" t="s">
        <v>76</v>
      </c>
      <c r="B2" s="35"/>
      <c r="C2" s="35"/>
      <c r="D2" s="35"/>
      <c r="E2" s="36"/>
      <c r="F2" s="37"/>
    </row>
    <row r="3" spans="1:6" s="38" customFormat="1" ht="18">
      <c r="A3" s="35" t="s">
        <v>77</v>
      </c>
      <c r="B3" s="36"/>
      <c r="C3" s="36"/>
      <c r="D3" s="36"/>
      <c r="E3" s="36"/>
      <c r="F3" s="37"/>
    </row>
    <row r="4" spans="1:6" s="40" customFormat="1">
      <c r="A4" s="39"/>
      <c r="B4" s="39"/>
      <c r="C4" s="39"/>
      <c r="D4" s="39"/>
      <c r="E4" s="39"/>
      <c r="F4" s="39"/>
    </row>
    <row r="5" spans="1:6" s="40" customFormat="1">
      <c r="A5" s="41" t="s">
        <v>146</v>
      </c>
      <c r="B5" s="39"/>
      <c r="C5" s="39"/>
      <c r="D5" s="39"/>
      <c r="E5" s="42" t="s">
        <v>145</v>
      </c>
      <c r="F5" s="39"/>
    </row>
    <row r="6" spans="1:6" s="40" customFormat="1" ht="15.75" thickBot="1">
      <c r="A6" s="39"/>
      <c r="B6" s="39"/>
      <c r="C6" s="39"/>
      <c r="D6" s="39"/>
      <c r="E6" s="39"/>
      <c r="F6" s="39"/>
    </row>
    <row r="7" spans="1:6" s="40" customFormat="1" ht="35.1" customHeight="1" thickBot="1">
      <c r="A7" s="43" t="s">
        <v>0</v>
      </c>
      <c r="B7" s="44" t="s">
        <v>1</v>
      </c>
      <c r="C7" s="44" t="s">
        <v>2</v>
      </c>
      <c r="D7" s="45" t="s">
        <v>3</v>
      </c>
      <c r="E7" s="46" t="s">
        <v>13</v>
      </c>
      <c r="F7" s="39"/>
    </row>
    <row r="8" spans="1:6" s="40" customFormat="1" ht="20.100000000000001" customHeight="1">
      <c r="A8" s="47">
        <v>1</v>
      </c>
      <c r="B8" s="28" t="s">
        <v>94</v>
      </c>
      <c r="C8" s="52" t="s">
        <v>99</v>
      </c>
      <c r="D8" s="51" t="s">
        <v>103</v>
      </c>
      <c r="E8" s="56"/>
      <c r="F8" s="39"/>
    </row>
    <row r="9" spans="1:6" s="40" customFormat="1" ht="20.100000000000001" customHeight="1">
      <c r="A9" s="48">
        <v>2</v>
      </c>
      <c r="B9" s="28" t="s">
        <v>93</v>
      </c>
      <c r="C9" s="52" t="s">
        <v>98</v>
      </c>
      <c r="D9" s="51" t="s">
        <v>103</v>
      </c>
      <c r="E9" s="57"/>
      <c r="F9" s="39"/>
    </row>
    <row r="10" spans="1:6" s="40" customFormat="1" ht="20.100000000000001" customHeight="1">
      <c r="A10" s="48">
        <v>3</v>
      </c>
      <c r="B10" s="28" t="s">
        <v>129</v>
      </c>
      <c r="C10" s="52" t="s">
        <v>128</v>
      </c>
      <c r="D10" s="51" t="s">
        <v>126</v>
      </c>
      <c r="E10" s="57"/>
      <c r="F10" s="39"/>
    </row>
    <row r="11" spans="1:6" s="40" customFormat="1" ht="20.100000000000001" customHeight="1">
      <c r="A11" s="48">
        <v>4</v>
      </c>
      <c r="B11" s="28" t="s">
        <v>123</v>
      </c>
      <c r="C11" s="52" t="s">
        <v>124</v>
      </c>
      <c r="D11" s="51" t="s">
        <v>125</v>
      </c>
      <c r="E11" s="57"/>
      <c r="F11" s="39"/>
    </row>
    <row r="12" spans="1:6" s="40" customFormat="1" ht="20.100000000000001" customHeight="1">
      <c r="A12" s="48">
        <v>5</v>
      </c>
      <c r="B12" s="28" t="s">
        <v>127</v>
      </c>
      <c r="C12" s="52" t="s">
        <v>141</v>
      </c>
      <c r="D12" s="51" t="s">
        <v>126</v>
      </c>
      <c r="E12" s="57"/>
      <c r="F12" s="39"/>
    </row>
    <row r="13" spans="1:6" s="40" customFormat="1" ht="20.100000000000001" customHeight="1">
      <c r="A13" s="48">
        <v>6</v>
      </c>
      <c r="B13" s="28" t="s">
        <v>91</v>
      </c>
      <c r="C13" s="52" t="s">
        <v>88</v>
      </c>
      <c r="D13" s="51" t="s">
        <v>87</v>
      </c>
      <c r="E13" s="57"/>
      <c r="F13" s="39"/>
    </row>
    <row r="14" spans="1:6" s="40" customFormat="1" ht="20.100000000000001" customHeight="1">
      <c r="A14" s="48">
        <v>7</v>
      </c>
      <c r="B14" s="28" t="s">
        <v>104</v>
      </c>
      <c r="C14" s="52" t="s">
        <v>107</v>
      </c>
      <c r="D14" s="51" t="s">
        <v>105</v>
      </c>
      <c r="E14" s="57"/>
      <c r="F14" s="39"/>
    </row>
    <row r="15" spans="1:6" s="40" customFormat="1" ht="20.100000000000001" customHeight="1">
      <c r="A15" s="48">
        <v>8</v>
      </c>
      <c r="B15" s="28" t="s">
        <v>92</v>
      </c>
      <c r="C15" s="52" t="s">
        <v>89</v>
      </c>
      <c r="D15" s="51" t="s">
        <v>87</v>
      </c>
      <c r="E15" s="57"/>
      <c r="F15" s="39"/>
    </row>
    <row r="16" spans="1:6" s="40" customFormat="1" ht="20.100000000000001" customHeight="1">
      <c r="A16" s="48">
        <v>9</v>
      </c>
      <c r="B16" s="28" t="s">
        <v>90</v>
      </c>
      <c r="C16" s="52" t="s">
        <v>85</v>
      </c>
      <c r="D16" s="51" t="s">
        <v>86</v>
      </c>
      <c r="E16" s="57"/>
      <c r="F16" s="39"/>
    </row>
    <row r="17" spans="1:6" s="40" customFormat="1" ht="20.100000000000001" customHeight="1">
      <c r="A17" s="48">
        <v>10</v>
      </c>
      <c r="B17" s="28" t="s">
        <v>116</v>
      </c>
      <c r="C17" s="52" t="s">
        <v>117</v>
      </c>
      <c r="D17" s="51" t="s">
        <v>118</v>
      </c>
      <c r="E17" s="57"/>
      <c r="F17" s="39"/>
    </row>
    <row r="18" spans="1:6" s="40" customFormat="1" ht="20.100000000000001" customHeight="1">
      <c r="A18" s="48">
        <v>11</v>
      </c>
      <c r="B18" s="28" t="s">
        <v>96</v>
      </c>
      <c r="C18" s="52" t="s">
        <v>101</v>
      </c>
      <c r="D18" s="51" t="s">
        <v>103</v>
      </c>
      <c r="E18" s="57"/>
      <c r="F18" s="39"/>
    </row>
    <row r="19" spans="1:6" s="40" customFormat="1" ht="20.100000000000001" customHeight="1">
      <c r="A19" s="48">
        <v>12</v>
      </c>
      <c r="B19" s="28" t="s">
        <v>111</v>
      </c>
      <c r="C19" s="52" t="s">
        <v>115</v>
      </c>
      <c r="D19" s="51" t="s">
        <v>112</v>
      </c>
      <c r="E19" s="57"/>
      <c r="F19" s="39"/>
    </row>
    <row r="20" spans="1:6" s="40" customFormat="1" ht="20.100000000000001" customHeight="1">
      <c r="A20" s="48">
        <v>13</v>
      </c>
      <c r="B20" s="28" t="s">
        <v>120</v>
      </c>
      <c r="C20" s="52" t="s">
        <v>121</v>
      </c>
      <c r="D20" s="51" t="s">
        <v>122</v>
      </c>
      <c r="E20" s="57"/>
      <c r="F20" s="39"/>
    </row>
    <row r="21" spans="1:6" s="40" customFormat="1" ht="20.100000000000001" customHeight="1">
      <c r="A21" s="48">
        <v>14</v>
      </c>
      <c r="B21" s="28" t="s">
        <v>95</v>
      </c>
      <c r="C21" s="52" t="s">
        <v>100</v>
      </c>
      <c r="D21" s="51" t="s">
        <v>103</v>
      </c>
      <c r="E21" s="57"/>
      <c r="F21" s="39"/>
    </row>
    <row r="22" spans="1:6" s="40" customFormat="1" ht="20.100000000000001" customHeight="1">
      <c r="A22" s="48">
        <v>15</v>
      </c>
      <c r="B22" s="28" t="s">
        <v>110</v>
      </c>
      <c r="C22" s="52" t="s">
        <v>114</v>
      </c>
      <c r="D22" s="51" t="s">
        <v>112</v>
      </c>
      <c r="E22" s="57"/>
      <c r="F22" s="39"/>
    </row>
    <row r="23" spans="1:6" s="40" customFormat="1" ht="20.100000000000001" customHeight="1">
      <c r="A23" s="48">
        <v>16</v>
      </c>
      <c r="B23" s="28" t="s">
        <v>119</v>
      </c>
      <c r="C23" s="52" t="s">
        <v>142</v>
      </c>
      <c r="D23" s="51" t="s">
        <v>122</v>
      </c>
      <c r="E23" s="57"/>
      <c r="F23" s="39"/>
    </row>
    <row r="24" spans="1:6" s="40" customFormat="1" ht="20.100000000000001" customHeight="1">
      <c r="A24" s="48">
        <v>17</v>
      </c>
      <c r="B24" s="28" t="s">
        <v>143</v>
      </c>
      <c r="C24" s="52" t="s">
        <v>144</v>
      </c>
      <c r="D24" s="51" t="s">
        <v>86</v>
      </c>
      <c r="E24" s="57"/>
      <c r="F24" s="39"/>
    </row>
    <row r="25" spans="1:6" s="40" customFormat="1" ht="20.100000000000001" customHeight="1">
      <c r="A25" s="48">
        <v>18</v>
      </c>
      <c r="B25" s="28" t="s">
        <v>106</v>
      </c>
      <c r="C25" s="52" t="s">
        <v>151</v>
      </c>
      <c r="D25" s="51" t="s">
        <v>105</v>
      </c>
      <c r="E25" s="57"/>
      <c r="F25" s="39"/>
    </row>
    <row r="26" spans="1:6" s="40" customFormat="1" ht="20.100000000000001" customHeight="1">
      <c r="A26" s="48">
        <v>19</v>
      </c>
      <c r="B26" s="28" t="s">
        <v>83</v>
      </c>
      <c r="C26" s="52" t="s">
        <v>84</v>
      </c>
      <c r="D26" s="51" t="s">
        <v>86</v>
      </c>
      <c r="E26" s="57"/>
      <c r="F26" s="39"/>
    </row>
    <row r="27" spans="1:6" s="40" customFormat="1" ht="20.100000000000001" customHeight="1">
      <c r="A27" s="48">
        <v>20</v>
      </c>
      <c r="B27" s="28" t="s">
        <v>108</v>
      </c>
      <c r="C27" s="52" t="s">
        <v>113</v>
      </c>
      <c r="D27" s="51" t="s">
        <v>112</v>
      </c>
      <c r="E27" s="57"/>
      <c r="F27" s="39"/>
    </row>
    <row r="28" spans="1:6" s="40" customFormat="1" ht="20.100000000000001" customHeight="1">
      <c r="A28" s="48">
        <v>21</v>
      </c>
      <c r="B28" s="28" t="s">
        <v>97</v>
      </c>
      <c r="C28" s="52" t="s">
        <v>102</v>
      </c>
      <c r="D28" s="51" t="s">
        <v>103</v>
      </c>
      <c r="E28" s="57"/>
      <c r="F28" s="39"/>
    </row>
    <row r="29" spans="1:6" s="40" customFormat="1" ht="20.100000000000001" customHeight="1">
      <c r="A29" s="48">
        <v>22</v>
      </c>
      <c r="B29" s="28" t="s">
        <v>109</v>
      </c>
      <c r="C29" s="52" t="s">
        <v>152</v>
      </c>
      <c r="D29" s="51" t="s">
        <v>112</v>
      </c>
      <c r="E29" s="57"/>
      <c r="F29" s="39"/>
    </row>
    <row r="30" spans="1:6" s="40" customFormat="1" ht="20.100000000000001" customHeight="1">
      <c r="A30" s="48">
        <v>23</v>
      </c>
      <c r="B30" s="28"/>
      <c r="C30" s="52"/>
      <c r="D30" s="51"/>
      <c r="E30" s="57"/>
      <c r="F30" s="39"/>
    </row>
    <row r="31" spans="1:6" s="40" customFormat="1" ht="20.100000000000001" customHeight="1">
      <c r="A31" s="48">
        <v>24</v>
      </c>
      <c r="B31" s="28"/>
      <c r="C31" s="52"/>
      <c r="D31" s="51"/>
      <c r="E31" s="57"/>
      <c r="F31" s="39"/>
    </row>
    <row r="32" spans="1:6" s="40" customFormat="1" ht="20.100000000000001" customHeight="1">
      <c r="A32" s="48">
        <v>25</v>
      </c>
      <c r="B32" s="28"/>
      <c r="C32" s="52"/>
      <c r="D32" s="51"/>
      <c r="E32" s="57"/>
      <c r="F32" s="39"/>
    </row>
    <row r="33" spans="1:6" s="40" customFormat="1" ht="20.100000000000001" customHeight="1">
      <c r="A33" s="48">
        <v>26</v>
      </c>
      <c r="B33" s="28"/>
      <c r="C33" s="52"/>
      <c r="D33" s="51"/>
      <c r="E33" s="57"/>
      <c r="F33" s="39"/>
    </row>
    <row r="34" spans="1:6" s="40" customFormat="1" ht="20.100000000000001" customHeight="1">
      <c r="A34" s="48">
        <v>27</v>
      </c>
      <c r="B34" s="28"/>
      <c r="C34" s="52"/>
      <c r="D34" s="51"/>
      <c r="E34" s="57"/>
      <c r="F34" s="39"/>
    </row>
    <row r="35" spans="1:6" s="40" customFormat="1" ht="20.100000000000001" customHeight="1">
      <c r="A35" s="48">
        <v>28</v>
      </c>
      <c r="B35" s="28"/>
      <c r="C35" s="52"/>
      <c r="D35" s="51"/>
      <c r="E35" s="57"/>
      <c r="F35" s="39"/>
    </row>
    <row r="36" spans="1:6" s="40" customFormat="1" ht="20.100000000000001" customHeight="1">
      <c r="A36" s="48">
        <v>29</v>
      </c>
      <c r="B36" s="28"/>
      <c r="C36" s="52"/>
      <c r="D36" s="51"/>
      <c r="E36" s="57"/>
      <c r="F36" s="39"/>
    </row>
    <row r="37" spans="1:6" s="40" customFormat="1" ht="20.100000000000001" customHeight="1" thickBot="1">
      <c r="A37" s="49">
        <v>30</v>
      </c>
      <c r="B37" s="29"/>
      <c r="C37" s="53"/>
      <c r="D37" s="58"/>
      <c r="E37" s="59"/>
      <c r="F37" s="39"/>
    </row>
    <row r="38" spans="1:6">
      <c r="E38" s="146" t="s">
        <v>31</v>
      </c>
    </row>
    <row r="39" spans="1:6" hidden="1"/>
    <row r="40" spans="1:6" hidden="1"/>
    <row r="41" spans="1:6" hidden="1"/>
    <row r="42" spans="1:6" hidden="1"/>
    <row r="43" spans="1:6" hidden="1"/>
    <row r="44" spans="1:6" hidden="1"/>
    <row r="45" spans="1:6" hidden="1"/>
    <row r="46" spans="1:6" hidden="1"/>
    <row r="47" spans="1:6" hidden="1"/>
    <row r="48" spans="1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</sheetData>
  <sheetProtection selectLockedCells="1"/>
  <phoneticPr fontId="27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5" orientation="portrait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HW72"/>
  <sheetViews>
    <sheetView zoomScale="70" zoomScaleNormal="100" workbookViewId="0">
      <selection activeCell="C28" sqref="C28"/>
    </sheetView>
  </sheetViews>
  <sheetFormatPr defaultColWidth="0" defaultRowHeight="15" zeroHeight="1"/>
  <cols>
    <col min="1" max="1" width="9.77734375" style="33" customWidth="1"/>
    <col min="2" max="2" width="39.33203125" style="33" bestFit="1" customWidth="1"/>
    <col min="3" max="3" width="6.109375" style="33" customWidth="1"/>
    <col min="4" max="4" width="21.33203125" style="33" bestFit="1" customWidth="1"/>
    <col min="5" max="5" width="27.77734375" style="33" bestFit="1" customWidth="1"/>
    <col min="6" max="6" width="8.77734375" style="33" customWidth="1"/>
    <col min="7" max="7" width="1.77734375" style="33" customWidth="1"/>
    <col min="8" max="10" width="8.88671875" style="34" hidden="1" customWidth="1"/>
    <col min="11" max="11" width="28.77734375" style="34" hidden="1" customWidth="1"/>
    <col min="12" max="12" width="15.21875" style="34" hidden="1" customWidth="1"/>
    <col min="13" max="13" width="30.33203125" style="34" hidden="1" customWidth="1"/>
    <col min="14" max="231" width="8.88671875" style="34" hidden="1" customWidth="1"/>
    <col min="232" max="16384" width="0" style="34" hidden="1"/>
  </cols>
  <sheetData>
    <row r="1" spans="1:7" ht="30">
      <c r="A1" s="30" t="s">
        <v>14</v>
      </c>
      <c r="B1" s="31"/>
      <c r="C1" s="30"/>
      <c r="D1" s="31"/>
      <c r="E1" s="31"/>
      <c r="F1" s="32"/>
    </row>
    <row r="2" spans="1:7" ht="30">
      <c r="A2" s="30" t="s">
        <v>24</v>
      </c>
      <c r="B2" s="31"/>
      <c r="C2" s="30"/>
      <c r="D2" s="31"/>
      <c r="E2" s="31"/>
      <c r="F2" s="32"/>
    </row>
    <row r="3" spans="1:7" s="38" customFormat="1" ht="18">
      <c r="A3" s="35" t="s">
        <v>76</v>
      </c>
      <c r="B3" s="35"/>
      <c r="C3" s="35"/>
      <c r="D3" s="35"/>
      <c r="E3" s="35"/>
      <c r="F3" s="36"/>
      <c r="G3" s="37"/>
    </row>
    <row r="4" spans="1:7" s="38" customFormat="1" ht="18">
      <c r="A4" s="35" t="s">
        <v>77</v>
      </c>
      <c r="B4" s="36"/>
      <c r="C4" s="35"/>
      <c r="D4" s="36"/>
      <c r="E4" s="36"/>
      <c r="F4" s="36"/>
      <c r="G4" s="37"/>
    </row>
    <row r="5" spans="1:7" s="40" customFormat="1">
      <c r="A5" s="39"/>
      <c r="B5" s="39"/>
      <c r="C5" s="39"/>
      <c r="D5" s="39"/>
      <c r="E5" s="39"/>
      <c r="F5" s="39"/>
      <c r="G5" s="39"/>
    </row>
    <row r="6" spans="1:7" s="40" customFormat="1">
      <c r="A6" s="41" t="s">
        <v>146</v>
      </c>
      <c r="B6" s="39"/>
      <c r="C6" s="41"/>
      <c r="D6" s="39"/>
      <c r="E6" s="39"/>
      <c r="F6" s="42" t="s">
        <v>145</v>
      </c>
      <c r="G6" s="39"/>
    </row>
    <row r="7" spans="1:7" s="40" customFormat="1" ht="15.75" thickBot="1">
      <c r="A7" s="39"/>
      <c r="B7" s="39"/>
      <c r="C7" s="39"/>
      <c r="D7" s="39"/>
      <c r="E7" s="39"/>
      <c r="F7" s="39"/>
      <c r="G7" s="39"/>
    </row>
    <row r="8" spans="1:7" s="40" customFormat="1" ht="35.1" customHeight="1" thickBot="1">
      <c r="A8" s="43" t="s">
        <v>30</v>
      </c>
      <c r="B8" s="45" t="s">
        <v>1</v>
      </c>
      <c r="C8" s="44" t="s">
        <v>17</v>
      </c>
      <c r="D8" s="44" t="s">
        <v>2</v>
      </c>
      <c r="E8" s="45" t="s">
        <v>3</v>
      </c>
      <c r="F8" s="46" t="s">
        <v>13</v>
      </c>
      <c r="G8" s="39"/>
    </row>
    <row r="9" spans="1:7" s="40" customFormat="1" ht="20.100000000000001" customHeight="1">
      <c r="A9" s="47">
        <v>1</v>
      </c>
      <c r="B9" s="141" t="str">
        <f>IF(ISERROR(IF(VLOOKUP($C9,'STARTOVNÍ LISTINA'!$A$8:$E$37,2,0)=0,"",VLOOKUP($C9,'STARTOVNÍ LISTINA'!$A$8:$E$37,2,0)))=TRUE,"",IF(VLOOKUP($C9,'STARTOVNÍ LISTINA'!$A$8:$E$37,2,0)=0,"",VLOOKUP($C9,'STARTOVNÍ LISTINA'!$A$8:$E$37,2,0)))</f>
        <v>SLEZÁK Michal, nstržm. Ing.</v>
      </c>
      <c r="C9" s="143">
        <f>IF('STARTOVNÍ LISTINA'!B8="","",'STARTOVNÍ LISTINA'!A8)</f>
        <v>1</v>
      </c>
      <c r="D9" s="52" t="str">
        <f>IF(ISERROR(IF(VLOOKUP($C9,'STARTOVNÍ LISTINA'!$A$8:$E$37,3,0)=0,"",VLOOKUP($C9,'STARTOVNÍ LISTINA'!$A$8:$E$37,3,0)))=TRUE,"",IF(VLOOKUP($C9,'STARTOVNÍ LISTINA'!$A$8:$E$37,3,0)=0,"",VLOOKUP($C9,'STARTOVNÍ LISTINA'!$A$8:$E$37,3,0)))</f>
        <v>ENRICO</v>
      </c>
      <c r="E9" s="51" t="str">
        <f>IF(ISERROR(IF(VLOOKUP($C9,'STARTOVNÍ LISTINA'!$A$8:$E$37,4,0)=0,"",VLOOKUP($C9,'STARTOVNÍ LISTINA'!$A$8:$E$37,4,0)))=TRUE,"",IF(VLOOKUP($C9,'STARTOVNÍ LISTINA'!$A$8:$E$37,4,0)=0,"",VLOOKUP($C9,'STARTOVNÍ LISTINA'!$A$8:$E$37,4,0)))</f>
        <v>KŘP Jihomoravského kraje</v>
      </c>
      <c r="F9" s="56" t="str">
        <f>IF(ISERROR(IF(VLOOKUP($C9,'STARTOVNÍ LISTINA'!$A$8:$E$37,5,0)=0,"",VLOOKUP($C9,'STARTOVNÍ LISTINA'!$A$8:$E$37,5,0)))=TRUE,"",IF(VLOOKUP($C9,'STARTOVNÍ LISTINA'!$A$8:$E$37,5,0)=0,"",VLOOKUP($C9,'STARTOVNÍ LISTINA'!$A$8:$E$37,5,0)))</f>
        <v/>
      </c>
      <c r="G9" s="39"/>
    </row>
    <row r="10" spans="1:7" s="40" customFormat="1" ht="20.100000000000001" customHeight="1">
      <c r="A10" s="48">
        <v>2</v>
      </c>
      <c r="B10" s="141" t="str">
        <f>IF(ISERROR(IF(VLOOKUP($C10,'STARTOVNÍ LISTINA'!$A$8:$E$37,2,0)=0,"",VLOOKUP($C10,'STARTOVNÍ LISTINA'!$A$8:$E$37,2,0)))=TRUE,"",IF(VLOOKUP($C10,'STARTOVNÍ LISTINA'!$A$8:$E$37,2,0)=0,"",VLOOKUP($C10,'STARTOVNÍ LISTINA'!$A$8:$E$37,2,0)))</f>
        <v>ŠEJSTAL Radek, prap.</v>
      </c>
      <c r="C10" s="144">
        <f>IF('STARTOVNÍ LISTINA'!B9="","",'STARTOVNÍ LISTINA'!A9)</f>
        <v>2</v>
      </c>
      <c r="D10" s="52" t="str">
        <f>IF(ISERROR(IF(VLOOKUP($C10,'STARTOVNÍ LISTINA'!$A$8:$E$37,3,0)=0,"",VLOOKUP($C10,'STARTOVNÍ LISTINA'!$A$8:$E$37,3,0)))=TRUE,"",IF(VLOOKUP($C10,'STARTOVNÍ LISTINA'!$A$8:$E$37,3,0)=0,"",VLOOKUP($C10,'STARTOVNÍ LISTINA'!$A$8:$E$37,3,0)))</f>
        <v>LISTR</v>
      </c>
      <c r="E10" s="51" t="str">
        <f>IF(ISERROR(IF(VLOOKUP($C10,'STARTOVNÍ LISTINA'!$A$8:$E$37,4,0)=0,"",VLOOKUP($C10,'STARTOVNÍ LISTINA'!$A$8:$E$37,4,0)))=TRUE,"",IF(VLOOKUP($C10,'STARTOVNÍ LISTINA'!$A$8:$E$37,4,0)=0,"",VLOOKUP($C10,'STARTOVNÍ LISTINA'!$A$8:$E$37,4,0)))</f>
        <v>KŘP Jihomoravského kraje</v>
      </c>
      <c r="F10" s="57" t="str">
        <f>IF(ISERROR(IF(VLOOKUP($C10,'STARTOVNÍ LISTINA'!$A$8:$E$37,5,0)=0,"",VLOOKUP($C10,'STARTOVNÍ LISTINA'!$A$8:$E$37,5,0)))=TRUE,"",IF(VLOOKUP($C10,'STARTOVNÍ LISTINA'!$A$8:$E$37,5,0)=0,"",VLOOKUP($C10,'STARTOVNÍ LISTINA'!$A$8:$E$37,5,0)))</f>
        <v/>
      </c>
      <c r="G10" s="39"/>
    </row>
    <row r="11" spans="1:7" s="40" customFormat="1" ht="20.100000000000001" customHeight="1">
      <c r="A11" s="48">
        <v>3</v>
      </c>
      <c r="B11" s="141" t="str">
        <f>IF(ISERROR(IF(VLOOKUP($C11,'STARTOVNÍ LISTINA'!$A$8:$E$37,2,0)=0,"",VLOOKUP($C11,'STARTOVNÍ LISTINA'!$A$8:$E$37,2,0)))=TRUE,"",IF(VLOOKUP($C11,'STARTOVNÍ LISTINA'!$A$8:$E$37,2,0)=0,"",VLOOKUP($C11,'STARTOVNÍ LISTINA'!$A$8:$E$37,2,0)))</f>
        <v>SZIVACKI Joszef Tibor</v>
      </c>
      <c r="C11" s="144">
        <f>IF('STARTOVNÍ LISTINA'!B10="","",'STARTOVNÍ LISTINA'!A10)</f>
        <v>3</v>
      </c>
      <c r="D11" s="52" t="str">
        <f>IF(ISERROR(IF(VLOOKUP($C11,'STARTOVNÍ LISTINA'!$A$8:$E$37,3,0)=0,"",VLOOKUP($C11,'STARTOVNÍ LISTINA'!$A$8:$E$37,3,0)))=TRUE,"",IF(VLOOKUP($C11,'STARTOVNÍ LISTINA'!$A$8:$E$37,3,0)=0,"",VLOOKUP($C11,'STARTOVNÍ LISTINA'!$A$8:$E$37,3,0)))</f>
        <v>VELÚR</v>
      </c>
      <c r="E11" s="51" t="str">
        <f>IF(ISERROR(IF(VLOOKUP($C11,'STARTOVNÍ LISTINA'!$A$8:$E$37,4,0)=0,"",VLOOKUP($C11,'STARTOVNÍ LISTINA'!$A$8:$E$37,4,0)))=TRUE,"",IF(VLOOKUP($C11,'STARTOVNÍ LISTINA'!$A$8:$E$37,4,0)=0,"",VLOOKUP($C11,'STARTOVNÍ LISTINA'!$A$8:$E$37,4,0)))</f>
        <v>MAĎARSKO</v>
      </c>
      <c r="F11" s="57" t="str">
        <f>IF(ISERROR(IF(VLOOKUP($C11,'STARTOVNÍ LISTINA'!$A$8:$E$37,5,0)=0,"",VLOOKUP($C11,'STARTOVNÍ LISTINA'!$A$8:$E$37,5,0)))=TRUE,"",IF(VLOOKUP($C11,'STARTOVNÍ LISTINA'!$A$8:$E$37,5,0)=0,"",VLOOKUP($C11,'STARTOVNÍ LISTINA'!$A$8:$E$37,5,0)))</f>
        <v/>
      </c>
      <c r="G11" s="39"/>
    </row>
    <row r="12" spans="1:7" s="40" customFormat="1" ht="20.100000000000001" customHeight="1">
      <c r="A12" s="48">
        <v>4</v>
      </c>
      <c r="B12" s="141" t="str">
        <f>IF(ISERROR(IF(VLOOKUP($C12,'STARTOVNÍ LISTINA'!$A$8:$E$37,2,0)=0,"",VLOOKUP($C12,'STARTOVNÍ LISTINA'!$A$8:$E$37,2,0)))=TRUE,"",IF(VLOOKUP($C12,'STARTOVNÍ LISTINA'!$A$8:$E$37,2,0)=0,"",VLOOKUP($C12,'STARTOVNÍ LISTINA'!$A$8:$E$37,2,0)))</f>
        <v>ZGOLA Marián, ppráp.</v>
      </c>
      <c r="C12" s="144">
        <f>IF('STARTOVNÍ LISTINA'!B11="","",'STARTOVNÍ LISTINA'!A11)</f>
        <v>4</v>
      </c>
      <c r="D12" s="52" t="str">
        <f>IF(ISERROR(IF(VLOOKUP($C12,'STARTOVNÍ LISTINA'!$A$8:$E$37,3,0)=0,"",VLOOKUP($C12,'STARTOVNÍ LISTINA'!$A$8:$E$37,3,0)))=TRUE,"",IF(VLOOKUP($C12,'STARTOVNÍ LISTINA'!$A$8:$E$37,3,0)=0,"",VLOOKUP($C12,'STARTOVNÍ LISTINA'!$A$8:$E$37,3,0)))</f>
        <v>LAPAZ 21</v>
      </c>
      <c r="E12" s="51" t="str">
        <f>IF(ISERROR(IF(VLOOKUP($C12,'STARTOVNÍ LISTINA'!$A$8:$E$37,4,0)=0,"",VLOOKUP($C12,'STARTOVNÍ LISTINA'!$A$8:$E$37,4,0)))=TRUE,"",IF(VLOOKUP($C12,'STARTOVNÍ LISTINA'!$A$8:$E$37,4,0)=0,"",VLOOKUP($C12,'STARTOVNÍ LISTINA'!$A$8:$E$37,4,0)))</f>
        <v>SLOVENSKO, Košice</v>
      </c>
      <c r="F12" s="57" t="str">
        <f>IF(ISERROR(IF(VLOOKUP($C12,'STARTOVNÍ LISTINA'!$A$8:$E$37,5,0)=0,"",VLOOKUP($C12,'STARTOVNÍ LISTINA'!$A$8:$E$37,5,0)))=TRUE,"",IF(VLOOKUP($C12,'STARTOVNÍ LISTINA'!$A$8:$E$37,5,0)=0,"",VLOOKUP($C12,'STARTOVNÍ LISTINA'!$A$8:$E$37,5,0)))</f>
        <v/>
      </c>
      <c r="G12" s="39"/>
    </row>
    <row r="13" spans="1:7" s="40" customFormat="1" ht="20.100000000000001" customHeight="1">
      <c r="A13" s="48">
        <v>5</v>
      </c>
      <c r="B13" s="141" t="str">
        <f>IF(ISERROR(IF(VLOOKUP($C13,'STARTOVNÍ LISTINA'!$A$8:$E$37,2,0)=0,"",VLOOKUP($C13,'STARTOVNÍ LISTINA'!$A$8:$E$37,2,0)))=TRUE,"",IF(VLOOKUP($C13,'STARTOVNÍ LISTINA'!$A$8:$E$37,2,0)=0,"",VLOOKUP($C13,'STARTOVNÍ LISTINA'!$A$8:$E$37,2,0)))</f>
        <v>GASPÁR György</v>
      </c>
      <c r="C13" s="144">
        <f>IF('STARTOVNÍ LISTINA'!B12="","",'STARTOVNÍ LISTINA'!A12)</f>
        <v>5</v>
      </c>
      <c r="D13" s="52" t="str">
        <f>IF(ISERROR(IF(VLOOKUP($C13,'STARTOVNÍ LISTINA'!$A$8:$E$37,3,0)=0,"",VLOOKUP($C13,'STARTOVNÍ LISTINA'!$A$8:$E$37,3,0)))=TRUE,"",IF(VLOOKUP($C13,'STARTOVNÍ LISTINA'!$A$8:$E$37,3,0)=0,"",VLOOKUP($C13,'STARTOVNÍ LISTINA'!$A$8:$E$37,3,0)))</f>
        <v>RUBIN</v>
      </c>
      <c r="E13" s="51" t="str">
        <f>IF(ISERROR(IF(VLOOKUP($C13,'STARTOVNÍ LISTINA'!$A$8:$E$37,4,0)=0,"",VLOOKUP($C13,'STARTOVNÍ LISTINA'!$A$8:$E$37,4,0)))=TRUE,"",IF(VLOOKUP($C13,'STARTOVNÍ LISTINA'!$A$8:$E$37,4,0)=0,"",VLOOKUP($C13,'STARTOVNÍ LISTINA'!$A$8:$E$37,4,0)))</f>
        <v>MAĎARSKO</v>
      </c>
      <c r="F13" s="57" t="str">
        <f>IF(ISERROR(IF(VLOOKUP($C13,'STARTOVNÍ LISTINA'!$A$8:$E$37,5,0)=0,"",VLOOKUP($C13,'STARTOVNÍ LISTINA'!$A$8:$E$37,5,0)))=TRUE,"",IF(VLOOKUP($C13,'STARTOVNÍ LISTINA'!$A$8:$E$37,5,0)=0,"",VLOOKUP($C13,'STARTOVNÍ LISTINA'!$A$8:$E$37,5,0)))</f>
        <v/>
      </c>
      <c r="G13" s="39"/>
    </row>
    <row r="14" spans="1:7" s="40" customFormat="1" ht="20.100000000000001" customHeight="1">
      <c r="A14" s="48">
        <v>6</v>
      </c>
      <c r="B14" s="141" t="str">
        <f>IF(ISERROR(IF(VLOOKUP($C14,'STARTOVNÍ LISTINA'!$A$8:$E$37,2,0)=0,"",VLOOKUP($C14,'STARTOVNÍ LISTINA'!$A$8:$E$37,2,0)))=TRUE,"",IF(VLOOKUP($C14,'STARTOVNÍ LISTINA'!$A$8:$E$37,2,0)=0,"",VLOOKUP($C14,'STARTOVNÍ LISTINA'!$A$8:$E$37,2,0)))</f>
        <v>BŘEČKA Dalibor, pprap.</v>
      </c>
      <c r="C14" s="144">
        <f>IF('STARTOVNÍ LISTINA'!B13="","",'STARTOVNÍ LISTINA'!A13)</f>
        <v>6</v>
      </c>
      <c r="D14" s="52" t="str">
        <f>IF(ISERROR(IF(VLOOKUP($C14,'STARTOVNÍ LISTINA'!$A$8:$E$37,3,0)=0,"",VLOOKUP($C14,'STARTOVNÍ LISTINA'!$A$8:$E$37,3,0)))=TRUE,"",IF(VLOOKUP($C14,'STARTOVNÍ LISTINA'!$A$8:$E$37,3,0)=0,"",VLOOKUP($C14,'STARTOVNÍ LISTINA'!$A$8:$E$37,3,0)))</f>
        <v>TAJFUN</v>
      </c>
      <c r="E14" s="51" t="str">
        <f>IF(ISERROR(IF(VLOOKUP($C14,'STARTOVNÍ LISTINA'!$A$8:$E$37,4,0)=0,"",VLOOKUP($C14,'STARTOVNÍ LISTINA'!$A$8:$E$37,4,0)))=TRUE,"",IF(VLOOKUP($C14,'STARTOVNÍ LISTINA'!$A$8:$E$37,4,0)=0,"",VLOOKUP($C14,'STARTOVNÍ LISTINA'!$A$8:$E$37,4,0)))</f>
        <v>KŘP Zlínského kraje</v>
      </c>
      <c r="F14" s="57" t="str">
        <f>IF(ISERROR(IF(VLOOKUP($C14,'STARTOVNÍ LISTINA'!$A$8:$E$37,5,0)=0,"",VLOOKUP($C14,'STARTOVNÍ LISTINA'!$A$8:$E$37,5,0)))=TRUE,"",IF(VLOOKUP($C14,'STARTOVNÍ LISTINA'!$A$8:$E$37,5,0)=0,"",VLOOKUP($C14,'STARTOVNÍ LISTINA'!$A$8:$E$37,5,0)))</f>
        <v/>
      </c>
      <c r="G14" s="39"/>
    </row>
    <row r="15" spans="1:7" s="40" customFormat="1" ht="20.100000000000001" customHeight="1">
      <c r="A15" s="48">
        <v>7</v>
      </c>
      <c r="B15" s="141" t="str">
        <f>IF(ISERROR(IF(VLOOKUP($C15,'STARTOVNÍ LISTINA'!$A$8:$E$37,2,0)=0,"",VLOOKUP($C15,'STARTOVNÍ LISTINA'!$A$8:$E$37,2,0)))=TRUE,"",IF(VLOOKUP($C15,'STARTOVNÍ LISTINA'!$A$8:$E$37,2,0)=0,"",VLOOKUP($C15,'STARTOVNÍ LISTINA'!$A$8:$E$37,2,0)))</f>
        <v>NOVÁK Tomáš, str.</v>
      </c>
      <c r="C15" s="144">
        <f>IF('STARTOVNÍ LISTINA'!B14="","",'STARTOVNÍ LISTINA'!A14)</f>
        <v>7</v>
      </c>
      <c r="D15" s="52" t="str">
        <f>IF(ISERROR(IF(VLOOKUP($C15,'STARTOVNÍ LISTINA'!$A$8:$E$37,3,0)=0,"",VLOOKUP($C15,'STARTOVNÍ LISTINA'!$A$8:$E$37,3,0)))=TRUE,"",IF(VLOOKUP($C15,'STARTOVNÍ LISTINA'!$A$8:$E$37,3,0)=0,"",VLOOKUP($C15,'STARTOVNÍ LISTINA'!$A$8:$E$37,3,0)))</f>
        <v>SOLO PANDORA</v>
      </c>
      <c r="E15" s="51" t="str">
        <f>IF(ISERROR(IF(VLOOKUP($C15,'STARTOVNÍ LISTINA'!$A$8:$E$37,4,0)=0,"",VLOOKUP($C15,'STARTOVNÍ LISTINA'!$A$8:$E$37,4,0)))=TRUE,"",IF(VLOOKUP($C15,'STARTOVNÍ LISTINA'!$A$8:$E$37,4,0)=0,"",VLOOKUP($C15,'STARTOVNÍ LISTINA'!$A$8:$E$37,4,0)))</f>
        <v>MP Ostrava</v>
      </c>
      <c r="F15" s="57" t="str">
        <f>IF(ISERROR(IF(VLOOKUP($C15,'STARTOVNÍ LISTINA'!$A$8:$E$37,5,0)=0,"",VLOOKUP($C15,'STARTOVNÍ LISTINA'!$A$8:$E$37,5,0)))=TRUE,"",IF(VLOOKUP($C15,'STARTOVNÍ LISTINA'!$A$8:$E$37,5,0)=0,"",VLOOKUP($C15,'STARTOVNÍ LISTINA'!$A$8:$E$37,5,0)))</f>
        <v/>
      </c>
      <c r="G15" s="39"/>
    </row>
    <row r="16" spans="1:7" s="40" customFormat="1" ht="20.100000000000001" customHeight="1">
      <c r="A16" s="48">
        <v>8</v>
      </c>
      <c r="B16" s="141" t="str">
        <f>IF(ISERROR(IF(VLOOKUP($C16,'STARTOVNÍ LISTINA'!$A$8:$E$37,2,0)=0,"",VLOOKUP($C16,'STARTOVNÍ LISTINA'!$A$8:$E$37,2,0)))=TRUE,"",IF(VLOOKUP($C16,'STARTOVNÍ LISTINA'!$A$8:$E$37,2,0)=0,"",VLOOKUP($C16,'STARTOVNÍ LISTINA'!$A$8:$E$37,2,0)))</f>
        <v>POKORNÁ Hana, pprap.</v>
      </c>
      <c r="C16" s="144">
        <f>IF('STARTOVNÍ LISTINA'!B15="","",'STARTOVNÍ LISTINA'!A15)</f>
        <v>8</v>
      </c>
      <c r="D16" s="52" t="str">
        <f>IF(ISERROR(IF(VLOOKUP($C16,'STARTOVNÍ LISTINA'!$A$8:$E$37,3,0)=0,"",VLOOKUP($C16,'STARTOVNÍ LISTINA'!$A$8:$E$37,3,0)))=TRUE,"",IF(VLOOKUP($C16,'STARTOVNÍ LISTINA'!$A$8:$E$37,3,0)=0,"",VLOOKUP($C16,'STARTOVNÍ LISTINA'!$A$8:$E$37,3,0)))</f>
        <v>HUBERT</v>
      </c>
      <c r="E16" s="51" t="str">
        <f>IF(ISERROR(IF(VLOOKUP($C16,'STARTOVNÍ LISTINA'!$A$8:$E$37,4,0)=0,"",VLOOKUP($C16,'STARTOVNÍ LISTINA'!$A$8:$E$37,4,0)))=TRUE,"",IF(VLOOKUP($C16,'STARTOVNÍ LISTINA'!$A$8:$E$37,4,0)=0,"",VLOOKUP($C16,'STARTOVNÍ LISTINA'!$A$8:$E$37,4,0)))</f>
        <v>KŘP Zlínského kraje</v>
      </c>
      <c r="F16" s="57" t="str">
        <f>IF(ISERROR(IF(VLOOKUP($C16,'STARTOVNÍ LISTINA'!$A$8:$E$37,5,0)=0,"",VLOOKUP($C16,'STARTOVNÍ LISTINA'!$A$8:$E$37,5,0)))=TRUE,"",IF(VLOOKUP($C16,'STARTOVNÍ LISTINA'!$A$8:$E$37,5,0)=0,"",VLOOKUP($C16,'STARTOVNÍ LISTINA'!$A$8:$E$37,5,0)))</f>
        <v/>
      </c>
      <c r="G16" s="39"/>
    </row>
    <row r="17" spans="1:7" s="40" customFormat="1" ht="20.100000000000001" customHeight="1">
      <c r="A17" s="48">
        <v>9</v>
      </c>
      <c r="B17" s="141" t="str">
        <f>IF(ISERROR(IF(VLOOKUP($C17,'STARTOVNÍ LISTINA'!$A$8:$E$37,2,0)=0,"",VLOOKUP($C17,'STARTOVNÍ LISTINA'!$A$8:$E$37,2,0)))=TRUE,"",IF(VLOOKUP($C17,'STARTOVNÍ LISTINA'!$A$8:$E$37,2,0)=0,"",VLOOKUP($C17,'STARTOVNÍ LISTINA'!$A$8:$E$37,2,0)))</f>
        <v>KUROPATNICKÁ Zuzana, nstržm.</v>
      </c>
      <c r="C17" s="144">
        <f>IF('STARTOVNÍ LISTINA'!B16="","",'STARTOVNÍ LISTINA'!A16)</f>
        <v>9</v>
      </c>
      <c r="D17" s="52" t="str">
        <f>IF(ISERROR(IF(VLOOKUP($C17,'STARTOVNÍ LISTINA'!$A$8:$E$37,3,0)=0,"",VLOOKUP($C17,'STARTOVNÍ LISTINA'!$A$8:$E$37,3,0)))=TRUE,"",IF(VLOOKUP($C17,'STARTOVNÍ LISTINA'!$A$8:$E$37,3,0)=0,"",VLOOKUP($C17,'STARTOVNÍ LISTINA'!$A$8:$E$37,3,0)))</f>
        <v>CASSIUS</v>
      </c>
      <c r="E17" s="51" t="str">
        <f>IF(ISERROR(IF(VLOOKUP($C17,'STARTOVNÍ LISTINA'!$A$8:$E$37,4,0)=0,"",VLOOKUP($C17,'STARTOVNÍ LISTINA'!$A$8:$E$37,4,0)))=TRUE,"",IF(VLOOKUP($C17,'STARTOVNÍ LISTINA'!$A$8:$E$37,4,0)=0,"",VLOOKUP($C17,'STARTOVNÍ LISTINA'!$A$8:$E$37,4,0)))</f>
        <v>KŘP hlavního města Prahy</v>
      </c>
      <c r="F17" s="57" t="str">
        <f>IF(ISERROR(IF(VLOOKUP($C17,'STARTOVNÍ LISTINA'!$A$8:$E$37,5,0)=0,"",VLOOKUP($C17,'STARTOVNÍ LISTINA'!$A$8:$E$37,5,0)))=TRUE,"",IF(VLOOKUP($C17,'STARTOVNÍ LISTINA'!$A$8:$E$37,5,0)=0,"",VLOOKUP($C17,'STARTOVNÍ LISTINA'!$A$8:$E$37,5,0)))</f>
        <v/>
      </c>
      <c r="G17" s="39"/>
    </row>
    <row r="18" spans="1:7" s="40" customFormat="1" ht="20.100000000000001" customHeight="1">
      <c r="A18" s="48">
        <v>10</v>
      </c>
      <c r="B18" s="141" t="str">
        <f>IF(ISERROR(IF(VLOOKUP($C18,'STARTOVNÍ LISTINA'!$A$8:$E$37,2,0)=0,"",VLOOKUP($C18,'STARTOVNÍ LISTINA'!$A$8:$E$37,2,0)))=TRUE,"",IF(VLOOKUP($C18,'STARTOVNÍ LISTINA'!$A$8:$E$37,2,0)=0,"",VLOOKUP($C18,'STARTOVNÍ LISTINA'!$A$8:$E$37,2,0)))</f>
        <v>BUROV Roman</v>
      </c>
      <c r="C18" s="144">
        <f>IF('STARTOVNÍ LISTINA'!B29="","",'STARTOVNÍ LISTINA'!A17)</f>
        <v>10</v>
      </c>
      <c r="D18" s="52" t="str">
        <f>IF(ISERROR(IF(VLOOKUP($C18,'STARTOVNÍ LISTINA'!$A$8:$E$37,3,0)=0,"",VLOOKUP($C18,'STARTOVNÍ LISTINA'!$A$8:$E$37,3,0)))=TRUE,"",IF(VLOOKUP($C18,'STARTOVNÍ LISTINA'!$A$8:$E$37,3,0)=0,"",VLOOKUP($C18,'STARTOVNÍ LISTINA'!$A$8:$E$37,3,0)))</f>
        <v>BOSS (KŘP JMK)</v>
      </c>
      <c r="E18" s="51" t="str">
        <f>IF(ISERROR(IF(VLOOKUP($C18,'STARTOVNÍ LISTINA'!$A$8:$E$37,4,0)=0,"",VLOOKUP($C18,'STARTOVNÍ LISTINA'!$A$8:$E$37,4,0)))=TRUE,"",IF(VLOOKUP($C18,'STARTOVNÍ LISTINA'!$A$8:$E$37,4,0)=0,"",VLOOKUP($C18,'STARTOVNÍ LISTINA'!$A$8:$E$37,4,0)))</f>
        <v>RUSKO, Moskva</v>
      </c>
      <c r="F18" s="60" t="str">
        <f>IF(ISERROR(IF(VLOOKUP($C18,'STARTOVNÍ LISTINA'!$A$8:$E$37,5,0)=0,"",VLOOKUP($C18,'STARTOVNÍ LISTINA'!$A$8:$E$37,5,0)))=TRUE,"",IF(VLOOKUP($C18,'STARTOVNÍ LISTINA'!$A$8:$E$37,5,0)=0,"",VLOOKUP($C18,'STARTOVNÍ LISTINA'!$A$8:$E$37,5,0)))</f>
        <v/>
      </c>
      <c r="G18" s="39"/>
    </row>
    <row r="19" spans="1:7" s="40" customFormat="1" ht="20.100000000000001" customHeight="1">
      <c r="A19" s="48">
        <v>11</v>
      </c>
      <c r="B19" s="141" t="str">
        <f>IF(ISERROR(IF(VLOOKUP($C19,'STARTOVNÍ LISTINA'!$A$8:$E$37,2,0)=0,"",VLOOKUP($C19,'STARTOVNÍ LISTINA'!$A$8:$E$37,2,0)))=TRUE,"",IF(VLOOKUP($C19,'STARTOVNÍ LISTINA'!$A$8:$E$37,2,0)=0,"",VLOOKUP($C19,'STARTOVNÍ LISTINA'!$A$8:$E$37,2,0)))</f>
        <v>VYSLOUŽILOVÁ Martina, pprap.</v>
      </c>
      <c r="C19" s="144">
        <f>IF('STARTOVNÍ LISTINA'!B17="","",'STARTOVNÍ LISTINA'!A18)</f>
        <v>11</v>
      </c>
      <c r="D19" s="52" t="str">
        <f>IF(ISERROR(IF(VLOOKUP($C19,'STARTOVNÍ LISTINA'!$A$8:$E$37,3,0)=0,"",VLOOKUP($C19,'STARTOVNÍ LISTINA'!$A$8:$E$37,3,0)))=TRUE,"",IF(VLOOKUP($C19,'STARTOVNÍ LISTINA'!$A$8:$E$37,3,0)=0,"",VLOOKUP($C19,'STARTOVNÍ LISTINA'!$A$8:$E$37,3,0)))</f>
        <v>PRESTIGE</v>
      </c>
      <c r="E19" s="51" t="str">
        <f>IF(ISERROR(IF(VLOOKUP($C19,'STARTOVNÍ LISTINA'!$A$8:$E$37,4,0)=0,"",VLOOKUP($C19,'STARTOVNÍ LISTINA'!$A$8:$E$37,4,0)))=TRUE,"",IF(VLOOKUP($C19,'STARTOVNÍ LISTINA'!$A$8:$E$37,4,0)=0,"",VLOOKUP($C19,'STARTOVNÍ LISTINA'!$A$8:$E$37,4,0)))</f>
        <v>KŘP Jihomoravského kraje</v>
      </c>
      <c r="F19" s="57" t="str">
        <f>IF(ISERROR(IF(VLOOKUP($C19,'STARTOVNÍ LISTINA'!$A$8:$E$37,5,0)=0,"",VLOOKUP($C19,'STARTOVNÍ LISTINA'!$A$8:$E$37,5,0)))=TRUE,"",IF(VLOOKUP($C19,'STARTOVNÍ LISTINA'!$A$8:$E$37,5,0)=0,"",VLOOKUP($C19,'STARTOVNÍ LISTINA'!$A$8:$E$37,5,0)))</f>
        <v/>
      </c>
      <c r="G19" s="39"/>
    </row>
    <row r="20" spans="1:7" s="40" customFormat="1" ht="20.100000000000001" customHeight="1">
      <c r="A20" s="48">
        <v>12</v>
      </c>
      <c r="B20" s="141" t="str">
        <f>IF(ISERROR(IF(VLOOKUP($C20,'STARTOVNÍ LISTINA'!$A$8:$E$37,2,0)=0,"",VLOOKUP($C20,'STARTOVNÍ LISTINA'!$A$8:$E$37,2,0)))=TRUE,"",IF(VLOOKUP($C20,'STARTOVNÍ LISTINA'!$A$8:$E$37,2,0)=0,"",VLOOKUP($C20,'STARTOVNÍ LISTINA'!$A$8:$E$37,2,0)))</f>
        <v>TRNKOVÁ Simona, str.</v>
      </c>
      <c r="C20" s="144">
        <f>IF('STARTOVNÍ LISTINA'!B22="","",'STARTOVNÍ LISTINA'!A19)</f>
        <v>12</v>
      </c>
      <c r="D20" s="52" t="str">
        <f>IF(ISERROR(IF(VLOOKUP($C20,'STARTOVNÍ LISTINA'!$A$8:$E$37,3,0)=0,"",VLOOKUP($C20,'STARTOVNÍ LISTINA'!$A$8:$E$37,3,0)))=TRUE,"",IF(VLOOKUP($C20,'STARTOVNÍ LISTINA'!$A$8:$E$37,3,0)=0,"",VLOOKUP($C20,'STARTOVNÍ LISTINA'!$A$8:$E$37,3,0)))</f>
        <v>SOLO XALA</v>
      </c>
      <c r="E20" s="51" t="str">
        <f>IF(ISERROR(IF(VLOOKUP($C20,'STARTOVNÍ LISTINA'!$A$8:$E$37,4,0)=0,"",VLOOKUP($C20,'STARTOVNÍ LISTINA'!$A$8:$E$37,4,0)))=TRUE,"",IF(VLOOKUP($C20,'STARTOVNÍ LISTINA'!$A$8:$E$37,4,0)=0,"",VLOOKUP($C20,'STARTOVNÍ LISTINA'!$A$8:$E$37,4,0)))</f>
        <v>MP Praha</v>
      </c>
      <c r="F20" s="57" t="str">
        <f>IF(ISERROR(IF(VLOOKUP($C20,'STARTOVNÍ LISTINA'!$A$8:$E$37,5,0)=0,"",VLOOKUP($C20,'STARTOVNÍ LISTINA'!$A$8:$E$37,5,0)))=TRUE,"",IF(VLOOKUP($C20,'STARTOVNÍ LISTINA'!$A$8:$E$37,5,0)=0,"",VLOOKUP($C20,'STARTOVNÍ LISTINA'!$A$8:$E$37,5,0)))</f>
        <v/>
      </c>
      <c r="G20" s="39"/>
    </row>
    <row r="21" spans="1:7" s="40" customFormat="1" ht="20.100000000000001" customHeight="1">
      <c r="A21" s="48">
        <v>13</v>
      </c>
      <c r="B21" s="141" t="str">
        <f>IF(ISERROR(IF(VLOOKUP($C21,'STARTOVNÍ LISTINA'!$A$8:$E$37,2,0)=0,"",VLOOKUP($C21,'STARTOVNÍ LISTINA'!$A$8:$E$37,2,0)))=TRUE,"",IF(VLOOKUP($C21,'STARTOVNÍ LISTINA'!$A$8:$E$37,2,0)=0,"",VLOOKUP($C21,'STARTOVNÍ LISTINA'!$A$8:$E$37,2,0)))</f>
        <v>BONK Christin</v>
      </c>
      <c r="C21" s="144">
        <f>IF('STARTOVNÍ LISTINA'!B18="","",'STARTOVNÍ LISTINA'!A20)</f>
        <v>13</v>
      </c>
      <c r="D21" s="52" t="str">
        <f>IF(ISERROR(IF(VLOOKUP($C21,'STARTOVNÍ LISTINA'!$A$8:$E$37,3,0)=0,"",VLOOKUP($C21,'STARTOVNÍ LISTINA'!$A$8:$E$37,3,0)))=TRUE,"",IF(VLOOKUP($C21,'STARTOVNÍ LISTINA'!$A$8:$E$37,3,0)=0,"",VLOOKUP($C21,'STARTOVNÍ LISTINA'!$A$8:$E$37,3,0)))</f>
        <v>KRISTAL</v>
      </c>
      <c r="E21" s="51" t="str">
        <f>IF(ISERROR(IF(VLOOKUP($C21,'STARTOVNÍ LISTINA'!$A$8:$E$37,4,0)=0,"",VLOOKUP($C21,'STARTOVNÍ LISTINA'!$A$8:$E$37,4,0)))=TRUE,"",IF(VLOOKUP($C21,'STARTOVNÍ LISTINA'!$A$8:$E$37,4,0)=0,"",VLOOKUP($C21,'STARTOVNÍ LISTINA'!$A$8:$E$37,4,0)))</f>
        <v>NĚMECKO, Sasko</v>
      </c>
      <c r="F21" s="57" t="str">
        <f>IF(ISERROR(IF(VLOOKUP($C21,'STARTOVNÍ LISTINA'!$A$8:$E$37,5,0)=0,"",VLOOKUP($C21,'STARTOVNÍ LISTINA'!$A$8:$E$37,5,0)))=TRUE,"",IF(VLOOKUP($C21,'STARTOVNÍ LISTINA'!$A$8:$E$37,5,0)=0,"",VLOOKUP($C21,'STARTOVNÍ LISTINA'!$A$8:$E$37,5,0)))</f>
        <v/>
      </c>
      <c r="G21" s="39"/>
    </row>
    <row r="22" spans="1:7" s="40" customFormat="1" ht="20.100000000000001" customHeight="1">
      <c r="A22" s="48">
        <v>14</v>
      </c>
      <c r="B22" s="141" t="str">
        <f>IF(ISERROR(IF(VLOOKUP($C22,'STARTOVNÍ LISTINA'!$A$8:$E$37,2,0)=0,"",VLOOKUP($C22,'STARTOVNÍ LISTINA'!$A$8:$E$37,2,0)))=TRUE,"",IF(VLOOKUP($C22,'STARTOVNÍ LISTINA'!$A$8:$E$37,2,0)=0,"",VLOOKUP($C22,'STARTOVNÍ LISTINA'!$A$8:$E$37,2,0)))</f>
        <v>OSTŘANSKÁ Renata, nstržm.</v>
      </c>
      <c r="C22" s="144">
        <f>IF('STARTOVNÍ LISTINA'!B20="","",'STARTOVNÍ LISTINA'!A21)</f>
        <v>14</v>
      </c>
      <c r="D22" s="52" t="str">
        <f>IF(ISERROR(IF(VLOOKUP($C22,'STARTOVNÍ LISTINA'!$A$8:$E$37,3,0)=0,"",VLOOKUP($C22,'STARTOVNÍ LISTINA'!$A$8:$E$37,3,0)))=TRUE,"",IF(VLOOKUP($C22,'STARTOVNÍ LISTINA'!$A$8:$E$37,3,0)=0,"",VLOOKUP($C22,'STARTOVNÍ LISTINA'!$A$8:$E$37,3,0)))</f>
        <v>VIZIR</v>
      </c>
      <c r="E22" s="51" t="str">
        <f>IF(ISERROR(IF(VLOOKUP($C22,'STARTOVNÍ LISTINA'!$A$8:$E$37,4,0)=0,"",VLOOKUP($C22,'STARTOVNÍ LISTINA'!$A$8:$E$37,4,0)))=TRUE,"",IF(VLOOKUP($C22,'STARTOVNÍ LISTINA'!$A$8:$E$37,4,0)=0,"",VLOOKUP($C22,'STARTOVNÍ LISTINA'!$A$8:$E$37,4,0)))</f>
        <v>KŘP Jihomoravského kraje</v>
      </c>
      <c r="F22" s="57" t="str">
        <f>IF(ISERROR(IF(VLOOKUP($C22,'STARTOVNÍ LISTINA'!$A$8:$E$37,5,0)=0,"",VLOOKUP($C22,'STARTOVNÍ LISTINA'!$A$8:$E$37,5,0)))=TRUE,"",IF(VLOOKUP($C22,'STARTOVNÍ LISTINA'!$A$8:$E$37,5,0)=0,"",VLOOKUP($C22,'STARTOVNÍ LISTINA'!$A$8:$E$37,5,0)))</f>
        <v/>
      </c>
      <c r="G22" s="39"/>
    </row>
    <row r="23" spans="1:7" s="40" customFormat="1" ht="20.100000000000001" customHeight="1">
      <c r="A23" s="48">
        <v>15</v>
      </c>
      <c r="B23" s="141" t="str">
        <f>IF(ISERROR(IF(VLOOKUP($C23,'STARTOVNÍ LISTINA'!$A$8:$E$37,2,0)=0,"",VLOOKUP($C23,'STARTOVNÍ LISTINA'!$A$8:$E$37,2,0)))=TRUE,"",IF(VLOOKUP($C23,'STARTOVNÍ LISTINA'!$A$8:$E$37,2,0)=0,"",VLOOKUP($C23,'STARTOVNÍ LISTINA'!$A$8:$E$37,2,0)))</f>
        <v>PETROVIČ Zbyněk, str.</v>
      </c>
      <c r="C23" s="144">
        <f>IF('STARTOVNÍ LISTINA'!B21="","",'STARTOVNÍ LISTINA'!A22)</f>
        <v>15</v>
      </c>
      <c r="D23" s="52" t="str">
        <f>IF(ISERROR(IF(VLOOKUP($C23,'STARTOVNÍ LISTINA'!$A$8:$E$37,3,0)=0,"",VLOOKUP($C23,'STARTOVNÍ LISTINA'!$A$8:$E$37,3,0)))=TRUE,"",IF(VLOOKUP($C23,'STARTOVNÍ LISTINA'!$A$8:$E$37,3,0)=0,"",VLOOKUP($C23,'STARTOVNÍ LISTINA'!$A$8:$E$37,3,0)))</f>
        <v>ROMKE FAVIDA</v>
      </c>
      <c r="E23" s="51" t="str">
        <f>IF(ISERROR(IF(VLOOKUP($C23,'STARTOVNÍ LISTINA'!$A$8:$E$37,4,0)=0,"",VLOOKUP($C23,'STARTOVNÍ LISTINA'!$A$8:$E$37,4,0)))=TRUE,"",IF(VLOOKUP($C23,'STARTOVNÍ LISTINA'!$A$8:$E$37,4,0)=0,"",VLOOKUP($C23,'STARTOVNÍ LISTINA'!$A$8:$E$37,4,0)))</f>
        <v>MP Praha</v>
      </c>
      <c r="F23" s="57" t="str">
        <f>IF(ISERROR(IF(VLOOKUP($C23,'STARTOVNÍ LISTINA'!$A$8:$E$37,5,0)=0,"",VLOOKUP($C23,'STARTOVNÍ LISTINA'!$A$8:$E$37,5,0)))=TRUE,"",IF(VLOOKUP($C23,'STARTOVNÍ LISTINA'!$A$8:$E$37,5,0)=0,"",VLOOKUP($C23,'STARTOVNÍ LISTINA'!$A$8:$E$37,5,0)))</f>
        <v/>
      </c>
      <c r="G23" s="39"/>
    </row>
    <row r="24" spans="1:7" s="40" customFormat="1" ht="20.100000000000001" customHeight="1">
      <c r="A24" s="48">
        <v>16</v>
      </c>
      <c r="B24" s="141" t="str">
        <f>IF(ISERROR(IF(VLOOKUP($C24,'STARTOVNÍ LISTINA'!$A$8:$E$37,2,0)=0,"",VLOOKUP($C24,'STARTOVNÍ LISTINA'!$A$8:$E$37,2,0)))=TRUE,"",IF(VLOOKUP($C24,'STARTOVNÍ LISTINA'!$A$8:$E$37,2,0)=0,"",VLOOKUP($C24,'STARTOVNÍ LISTINA'!$A$8:$E$37,2,0)))</f>
        <v>PILKO Stephan</v>
      </c>
      <c r="C24" s="144">
        <f>IF('STARTOVNÍ LISTINA'!B19="","",'STARTOVNÍ LISTINA'!A23)</f>
        <v>16</v>
      </c>
      <c r="D24" s="52" t="str">
        <f>IF(ISERROR(IF(VLOOKUP($C24,'STARTOVNÍ LISTINA'!$A$8:$E$37,3,0)=0,"",VLOOKUP($C24,'STARTOVNÍ LISTINA'!$A$8:$E$37,3,0)))=TRUE,"",IF(VLOOKUP($C24,'STARTOVNÍ LISTINA'!$A$8:$E$37,3,0)=0,"",VLOOKUP($C24,'STARTOVNÍ LISTINA'!$A$8:$E$37,3,0)))</f>
        <v>QUICK STEP</v>
      </c>
      <c r="E24" s="51" t="str">
        <f>IF(ISERROR(IF(VLOOKUP($C24,'STARTOVNÍ LISTINA'!$A$8:$E$37,4,0)=0,"",VLOOKUP($C24,'STARTOVNÍ LISTINA'!$A$8:$E$37,4,0)))=TRUE,"",IF(VLOOKUP($C24,'STARTOVNÍ LISTINA'!$A$8:$E$37,4,0)=0,"",VLOOKUP($C24,'STARTOVNÍ LISTINA'!$A$8:$E$37,4,0)))</f>
        <v>NĚMECKO, Sasko</v>
      </c>
      <c r="F24" s="57" t="str">
        <f>IF(ISERROR(IF(VLOOKUP($C24,'STARTOVNÍ LISTINA'!$A$8:$E$37,5,0)=0,"",VLOOKUP($C24,'STARTOVNÍ LISTINA'!$A$8:$E$37,5,0)))=TRUE,"",IF(VLOOKUP($C24,'STARTOVNÍ LISTINA'!$A$8:$E$37,5,0)=0,"",VLOOKUP($C24,'STARTOVNÍ LISTINA'!$A$8:$E$37,5,0)))</f>
        <v/>
      </c>
      <c r="G24" s="39"/>
    </row>
    <row r="25" spans="1:7" s="40" customFormat="1" ht="20.100000000000001" customHeight="1">
      <c r="A25" s="48">
        <v>17</v>
      </c>
      <c r="B25" s="141" t="str">
        <f>IF(ISERROR(IF(VLOOKUP($C25,'STARTOVNÍ LISTINA'!$A$8:$E$37,2,0)=0,"",VLOOKUP($C25,'STARTOVNÍ LISTINA'!$A$8:$E$37,2,0)))=TRUE,"",IF(VLOOKUP($C25,'STARTOVNÍ LISTINA'!$A$8:$E$37,2,0)=0,"",VLOOKUP($C25,'STARTOVNÍ LISTINA'!$A$8:$E$37,2,0)))</f>
        <v>SVOBODA Lukáš, nstržm.</v>
      </c>
      <c r="C25" s="144">
        <f>IF('STARTOVNÍ LISTINA'!B23="","",'STARTOVNÍ LISTINA'!A24)</f>
        <v>17</v>
      </c>
      <c r="D25" s="52" t="str">
        <f>IF(ISERROR(IF(VLOOKUP($C25,'STARTOVNÍ LISTINA'!$A$8:$E$37,3,0)=0,"",VLOOKUP($C25,'STARTOVNÍ LISTINA'!$A$8:$E$37,3,0)))=TRUE,"",IF(VLOOKUP($C25,'STARTOVNÍ LISTINA'!$A$8:$E$37,3,0)=0,"",VLOOKUP($C25,'STARTOVNÍ LISTINA'!$A$8:$E$37,3,0)))</f>
        <v>SANTÉ</v>
      </c>
      <c r="E25" s="51" t="str">
        <f>IF(ISERROR(IF(VLOOKUP($C25,'STARTOVNÍ LISTINA'!$A$8:$E$37,4,0)=0,"",VLOOKUP($C25,'STARTOVNÍ LISTINA'!$A$8:$E$37,4,0)))=TRUE,"",IF(VLOOKUP($C25,'STARTOVNÍ LISTINA'!$A$8:$E$37,4,0)=0,"",VLOOKUP($C25,'STARTOVNÍ LISTINA'!$A$8:$E$37,4,0)))</f>
        <v>KŘP hlavního města Prahy</v>
      </c>
      <c r="F25" s="57" t="str">
        <f>IF(ISERROR(IF(VLOOKUP($C25,'STARTOVNÍ LISTINA'!$A$8:$E$37,5,0)=0,"",VLOOKUP($C25,'STARTOVNÍ LISTINA'!$A$8:$E$37,5,0)))=TRUE,"",IF(VLOOKUP($C25,'STARTOVNÍ LISTINA'!$A$8:$E$37,5,0)=0,"",VLOOKUP($C25,'STARTOVNÍ LISTINA'!$A$8:$E$37,5,0)))</f>
        <v/>
      </c>
      <c r="G25" s="39"/>
    </row>
    <row r="26" spans="1:7" s="40" customFormat="1" ht="20.100000000000001" customHeight="1">
      <c r="A26" s="48">
        <v>18</v>
      </c>
      <c r="B26" s="141" t="str">
        <f>IF(ISERROR(IF(VLOOKUP($C26,'STARTOVNÍ LISTINA'!$A$8:$E$37,2,0)=0,"",VLOOKUP($C26,'STARTOVNÍ LISTINA'!$A$8:$E$37,2,0)))=TRUE,"",IF(VLOOKUP($C26,'STARTOVNÍ LISTINA'!$A$8:$E$37,2,0)=0,"",VLOOKUP($C26,'STARTOVNÍ LISTINA'!$A$8:$E$37,2,0)))</f>
        <v>ZEDNÍČEK Libor, str.</v>
      </c>
      <c r="C26" s="144">
        <f>IF('STARTOVNÍ LISTINA'!B24="","",'STARTOVNÍ LISTINA'!A25)</f>
        <v>18</v>
      </c>
      <c r="D26" s="52" t="str">
        <f>IF(ISERROR(IF(VLOOKUP($C26,'STARTOVNÍ LISTINA'!$A$8:$E$37,3,0)=0,"",VLOOKUP($C26,'STARTOVNÍ LISTINA'!$A$8:$E$37,3,0)))=TRUE,"",IF(VLOOKUP($C26,'STARTOVNÍ LISTINA'!$A$8:$E$37,3,0)=0,"",VLOOKUP($C26,'STARTOVNÍ LISTINA'!$A$8:$E$37,3,0)))</f>
        <v>SOLO MACARENA</v>
      </c>
      <c r="E26" s="51" t="str">
        <f>IF(ISERROR(IF(VLOOKUP($C26,'STARTOVNÍ LISTINA'!$A$8:$E$37,4,0)=0,"",VLOOKUP($C26,'STARTOVNÍ LISTINA'!$A$8:$E$37,4,0)))=TRUE,"",IF(VLOOKUP($C26,'STARTOVNÍ LISTINA'!$A$8:$E$37,4,0)=0,"",VLOOKUP($C26,'STARTOVNÍ LISTINA'!$A$8:$E$37,4,0)))</f>
        <v>MP Ostrava</v>
      </c>
      <c r="F26" s="57" t="str">
        <f>IF(ISERROR(IF(VLOOKUP($C26,'STARTOVNÍ LISTINA'!$A$8:$E$37,5,0)=0,"",VLOOKUP($C26,'STARTOVNÍ LISTINA'!$A$8:$E$37,5,0)))=TRUE,"",IF(VLOOKUP($C26,'STARTOVNÍ LISTINA'!$A$8:$E$37,5,0)=0,"",VLOOKUP($C26,'STARTOVNÍ LISTINA'!$A$8:$E$37,5,0)))</f>
        <v/>
      </c>
      <c r="G26" s="39"/>
    </row>
    <row r="27" spans="1:7" s="40" customFormat="1" ht="20.100000000000001" customHeight="1">
      <c r="A27" s="48">
        <v>19</v>
      </c>
      <c r="B27" s="141" t="str">
        <f>IF(ISERROR(IF(VLOOKUP($C27,'STARTOVNÍ LISTINA'!$A$8:$E$37,2,0)=0,"",VLOOKUP($C27,'STARTOVNÍ LISTINA'!$A$8:$E$37,2,0)))=TRUE,"",IF(VLOOKUP($C27,'STARTOVNÍ LISTINA'!$A$8:$E$37,2,0)=0,"",VLOOKUP($C27,'STARTOVNÍ LISTINA'!$A$8:$E$37,2,0)))</f>
        <v>HRADIL Tomáš, pprap.</v>
      </c>
      <c r="C27" s="144">
        <f>IF('STARTOVNÍ LISTINA'!B25="","",'STARTOVNÍ LISTINA'!A26)</f>
        <v>19</v>
      </c>
      <c r="D27" s="52" t="str">
        <f>IF(ISERROR(IF(VLOOKUP($C27,'STARTOVNÍ LISTINA'!$A$8:$E$37,3,0)=0,"",VLOOKUP($C27,'STARTOVNÍ LISTINA'!$A$8:$E$37,3,0)))=TRUE,"",IF(VLOOKUP($C27,'STARTOVNÍ LISTINA'!$A$8:$E$37,3,0)=0,"",VLOOKUP($C27,'STARTOVNÍ LISTINA'!$A$8:$E$37,3,0)))</f>
        <v>ŽAGIR</v>
      </c>
      <c r="E27" s="51" t="str">
        <f>IF(ISERROR(IF(VLOOKUP($C27,'STARTOVNÍ LISTINA'!$A$8:$E$37,4,0)=0,"",VLOOKUP($C27,'STARTOVNÍ LISTINA'!$A$8:$E$37,4,0)))=TRUE,"",IF(VLOOKUP($C27,'STARTOVNÍ LISTINA'!$A$8:$E$37,4,0)=0,"",VLOOKUP($C27,'STARTOVNÍ LISTINA'!$A$8:$E$37,4,0)))</f>
        <v>KŘP hlavního města Prahy</v>
      </c>
      <c r="F27" s="57" t="str">
        <f>IF(ISERROR(IF(VLOOKUP($C27,'STARTOVNÍ LISTINA'!$A$8:$E$37,5,0)=0,"",VLOOKUP($C27,'STARTOVNÍ LISTINA'!$A$8:$E$37,5,0)))=TRUE,"",IF(VLOOKUP($C27,'STARTOVNÍ LISTINA'!$A$8:$E$37,5,0)=0,"",VLOOKUP($C27,'STARTOVNÍ LISTINA'!$A$8:$E$37,5,0)))</f>
        <v/>
      </c>
      <c r="G27" s="39"/>
    </row>
    <row r="28" spans="1:7" s="40" customFormat="1" ht="20.100000000000001" customHeight="1">
      <c r="A28" s="48">
        <v>20</v>
      </c>
      <c r="B28" s="141" t="str">
        <f>IF(ISERROR(IF(VLOOKUP($C28,'STARTOVNÍ LISTINA'!$A$8:$E$37,2,0)=0,"",VLOOKUP($C28,'STARTOVNÍ LISTINA'!$A$8:$E$37,2,0)))=TRUE,"",IF(VLOOKUP($C28,'STARTOVNÍ LISTINA'!$A$8:$E$37,2,0)=0,"",VLOOKUP($C28,'STARTOVNÍ LISTINA'!$A$8:$E$37,2,0)))</f>
        <v>HORNÍK Martin, str. Ing.</v>
      </c>
      <c r="C28" s="144">
        <f>IF('STARTOVNÍ LISTINA'!B26="","",'STARTOVNÍ LISTINA'!A27)</f>
        <v>20</v>
      </c>
      <c r="D28" s="52" t="str">
        <f>IF(ISERROR(IF(VLOOKUP($C28,'STARTOVNÍ LISTINA'!$A$8:$E$37,3,0)=0,"",VLOOKUP($C28,'STARTOVNÍ LISTINA'!$A$8:$E$37,3,0)))=TRUE,"",IF(VLOOKUP($C28,'STARTOVNÍ LISTINA'!$A$8:$E$37,3,0)=0,"",VLOOKUP($C28,'STARTOVNÍ LISTINA'!$A$8:$E$37,3,0)))</f>
        <v>SACRAMOSO XANTA ALBA</v>
      </c>
      <c r="E28" s="51" t="str">
        <f>IF(ISERROR(IF(VLOOKUP($C28,'STARTOVNÍ LISTINA'!$A$8:$E$37,4,0)=0,"",VLOOKUP($C28,'STARTOVNÍ LISTINA'!$A$8:$E$37,4,0)))=TRUE,"",IF(VLOOKUP($C28,'STARTOVNÍ LISTINA'!$A$8:$E$37,4,0)=0,"",VLOOKUP($C28,'STARTOVNÍ LISTINA'!$A$8:$E$37,4,0)))</f>
        <v>MP Praha</v>
      </c>
      <c r="F28" s="57" t="str">
        <f>IF(ISERROR(IF(VLOOKUP($C28,'STARTOVNÍ LISTINA'!$A$8:$E$37,5,0)=0,"",VLOOKUP($C28,'STARTOVNÍ LISTINA'!$A$8:$E$37,5,0)))=TRUE,"",IF(VLOOKUP($C28,'STARTOVNÍ LISTINA'!$A$8:$E$37,5,0)=0,"",VLOOKUP($C28,'STARTOVNÍ LISTINA'!$A$8:$E$37,5,0)))</f>
        <v/>
      </c>
      <c r="G28" s="39"/>
    </row>
    <row r="29" spans="1:7" s="40" customFormat="1" ht="20.100000000000001" customHeight="1">
      <c r="A29" s="48">
        <v>21</v>
      </c>
      <c r="B29" s="141" t="str">
        <f>IF(ISERROR(IF(VLOOKUP($C29,'STARTOVNÍ LISTINA'!$A$8:$E$37,2,0)=0,"",VLOOKUP($C29,'STARTOVNÍ LISTINA'!$A$8:$E$37,2,0)))=TRUE,"",IF(VLOOKUP($C29,'STARTOVNÍ LISTINA'!$A$8:$E$37,2,0)=0,"",VLOOKUP($C29,'STARTOVNÍ LISTINA'!$A$8:$E$37,2,0)))</f>
        <v>JOHN Přemysl, nstržm.</v>
      </c>
      <c r="C29" s="144">
        <f>IF('STARTOVNÍ LISTINA'!B27="","",'STARTOVNÍ LISTINA'!A28)</f>
        <v>21</v>
      </c>
      <c r="D29" s="52" t="str">
        <f>IF(ISERROR(IF(VLOOKUP($C29,'STARTOVNÍ LISTINA'!$A$8:$E$37,3,0)=0,"",VLOOKUP($C29,'STARTOVNÍ LISTINA'!$A$8:$E$37,3,0)))=TRUE,"",IF(VLOOKUP($C29,'STARTOVNÍ LISTINA'!$A$8:$E$37,3,0)=0,"",VLOOKUP($C29,'STARTOVNÍ LISTINA'!$A$8:$E$37,3,0)))</f>
        <v>DERWISZ</v>
      </c>
      <c r="E29" s="51" t="str">
        <f>IF(ISERROR(IF(VLOOKUP($C29,'STARTOVNÍ LISTINA'!$A$8:$E$37,4,0)=0,"",VLOOKUP($C29,'STARTOVNÍ LISTINA'!$A$8:$E$37,4,0)))=TRUE,"",IF(VLOOKUP($C29,'STARTOVNÍ LISTINA'!$A$8:$E$37,4,0)=0,"",VLOOKUP($C29,'STARTOVNÍ LISTINA'!$A$8:$E$37,4,0)))</f>
        <v>KŘP Jihomoravského kraje</v>
      </c>
      <c r="F29" s="57" t="str">
        <f>IF(ISERROR(IF(VLOOKUP($C29,'STARTOVNÍ LISTINA'!$A$8:$E$37,5,0)=0,"",VLOOKUP($C29,'STARTOVNÍ LISTINA'!$A$8:$E$37,5,0)))=TRUE,"",IF(VLOOKUP($C29,'STARTOVNÍ LISTINA'!$A$8:$E$37,5,0)=0,"",VLOOKUP($C29,'STARTOVNÍ LISTINA'!$A$8:$E$37,5,0)))</f>
        <v/>
      </c>
      <c r="G29" s="39"/>
    </row>
    <row r="30" spans="1:7" s="40" customFormat="1" ht="20.100000000000001" customHeight="1">
      <c r="A30" s="48">
        <v>22</v>
      </c>
      <c r="B30" s="141" t="str">
        <f>IF(ISERROR(IF(VLOOKUP($C30,'STARTOVNÍ LISTINA'!$A$8:$E$37,2,0)=0,"",VLOOKUP($C30,'STARTOVNÍ LISTINA'!$A$8:$E$37,2,0)))=TRUE,"",IF(VLOOKUP($C30,'STARTOVNÍ LISTINA'!$A$8:$E$37,2,0)=0,"",VLOOKUP($C30,'STARTOVNÍ LISTINA'!$A$8:$E$37,2,0)))</f>
        <v/>
      </c>
      <c r="C30" s="144"/>
      <c r="D30" s="52" t="str">
        <f>IF(ISERROR(IF(VLOOKUP($C30,'STARTOVNÍ LISTINA'!$A$8:$E$37,3,0)=0,"",VLOOKUP($C30,'STARTOVNÍ LISTINA'!$A$8:$E$37,3,0)))=TRUE,"",IF(VLOOKUP($C30,'STARTOVNÍ LISTINA'!$A$8:$E$37,3,0)=0,"",VLOOKUP($C30,'STARTOVNÍ LISTINA'!$A$8:$E$37,3,0)))</f>
        <v/>
      </c>
      <c r="E30" s="51" t="str">
        <f>IF(ISERROR(IF(VLOOKUP($C30,'STARTOVNÍ LISTINA'!$A$8:$E$37,4,0)=0,"",VLOOKUP($C30,'STARTOVNÍ LISTINA'!$A$8:$E$37,4,0)))=TRUE,"",IF(VLOOKUP($C30,'STARTOVNÍ LISTINA'!$A$8:$E$37,4,0)=0,"",VLOOKUP($C30,'STARTOVNÍ LISTINA'!$A$8:$E$37,4,0)))</f>
        <v/>
      </c>
      <c r="F30" s="57" t="str">
        <f>IF(ISERROR(IF(VLOOKUP($C30,'STARTOVNÍ LISTINA'!$A$8:$E$37,5,0)=0,"",VLOOKUP($C30,'STARTOVNÍ LISTINA'!$A$8:$E$37,5,0)))=TRUE,"",IF(VLOOKUP($C30,'STARTOVNÍ LISTINA'!$A$8:$E$37,5,0)=0,"",VLOOKUP($C30,'STARTOVNÍ LISTINA'!$A$8:$E$37,5,0)))</f>
        <v/>
      </c>
      <c r="G30" s="39"/>
    </row>
    <row r="31" spans="1:7" s="40" customFormat="1" ht="20.100000000000001" customHeight="1">
      <c r="A31" s="48">
        <v>23</v>
      </c>
      <c r="B31" s="141" t="str">
        <f>IF(ISERROR(IF(VLOOKUP($C31,'STARTOVNÍ LISTINA'!$A$8:$E$37,2,0)=0,"",VLOOKUP($C31,'STARTOVNÍ LISTINA'!$A$8:$E$37,2,0)))=TRUE,"",IF(VLOOKUP($C31,'STARTOVNÍ LISTINA'!$A$8:$E$37,2,0)=0,"",VLOOKUP($C31,'STARTOVNÍ LISTINA'!$A$8:$E$37,2,0)))</f>
        <v/>
      </c>
      <c r="C31" s="144" t="str">
        <f>IF('STARTOVNÍ LISTINA'!B30="","",'STARTOVNÍ LISTINA'!A30)</f>
        <v/>
      </c>
      <c r="D31" s="52" t="str">
        <f>IF(ISERROR(IF(VLOOKUP($C31,'STARTOVNÍ LISTINA'!$A$8:$E$37,3,0)=0,"",VLOOKUP($C31,'STARTOVNÍ LISTINA'!$A$8:$E$37,3,0)))=TRUE,"",IF(VLOOKUP($C31,'STARTOVNÍ LISTINA'!$A$8:$E$37,3,0)=0,"",VLOOKUP($C31,'STARTOVNÍ LISTINA'!$A$8:$E$37,3,0)))</f>
        <v/>
      </c>
      <c r="E31" s="51" t="str">
        <f>IF(ISERROR(IF(VLOOKUP($C31,'STARTOVNÍ LISTINA'!$A$8:$E$37,4,0)=0,"",VLOOKUP($C31,'STARTOVNÍ LISTINA'!$A$8:$E$37,4,0)))=TRUE,"",IF(VLOOKUP($C31,'STARTOVNÍ LISTINA'!$A$8:$E$37,4,0)=0,"",VLOOKUP($C31,'STARTOVNÍ LISTINA'!$A$8:$E$37,4,0)))</f>
        <v/>
      </c>
      <c r="F31" s="57" t="str">
        <f>IF(ISERROR(IF(VLOOKUP($C31,'STARTOVNÍ LISTINA'!$A$8:$E$37,5,0)=0,"",VLOOKUP($C31,'STARTOVNÍ LISTINA'!$A$8:$E$37,5,0)))=TRUE,"",IF(VLOOKUP($C31,'STARTOVNÍ LISTINA'!$A$8:$E$37,5,0)=0,"",VLOOKUP($C31,'STARTOVNÍ LISTINA'!$A$8:$E$37,5,0)))</f>
        <v/>
      </c>
      <c r="G31" s="39"/>
    </row>
    <row r="32" spans="1:7" s="40" customFormat="1" ht="20.100000000000001" customHeight="1">
      <c r="A32" s="48">
        <v>24</v>
      </c>
      <c r="B32" s="141" t="str">
        <f>IF(ISERROR(IF(VLOOKUP($C32,'STARTOVNÍ LISTINA'!$A$8:$E$37,2,0)=0,"",VLOOKUP($C32,'STARTOVNÍ LISTINA'!$A$8:$E$37,2,0)))=TRUE,"",IF(VLOOKUP($C32,'STARTOVNÍ LISTINA'!$A$8:$E$37,2,0)=0,"",VLOOKUP($C32,'STARTOVNÍ LISTINA'!$A$8:$E$37,2,0)))</f>
        <v/>
      </c>
      <c r="C32" s="144" t="str">
        <f>IF('STARTOVNÍ LISTINA'!B31="","",'STARTOVNÍ LISTINA'!A31)</f>
        <v/>
      </c>
      <c r="D32" s="52" t="str">
        <f>IF(ISERROR(IF(VLOOKUP($C32,'STARTOVNÍ LISTINA'!$A$8:$E$37,3,0)=0,"",VLOOKUP($C32,'STARTOVNÍ LISTINA'!$A$8:$E$37,3,0)))=TRUE,"",IF(VLOOKUP($C32,'STARTOVNÍ LISTINA'!$A$8:$E$37,3,0)=0,"",VLOOKUP($C32,'STARTOVNÍ LISTINA'!$A$8:$E$37,3,0)))</f>
        <v/>
      </c>
      <c r="E32" s="51" t="str">
        <f>IF(ISERROR(IF(VLOOKUP($C32,'STARTOVNÍ LISTINA'!$A$8:$E$37,4,0)=0,"",VLOOKUP($C32,'STARTOVNÍ LISTINA'!$A$8:$E$37,4,0)))=TRUE,"",IF(VLOOKUP($C32,'STARTOVNÍ LISTINA'!$A$8:$E$37,4,0)=0,"",VLOOKUP($C32,'STARTOVNÍ LISTINA'!$A$8:$E$37,4,0)))</f>
        <v/>
      </c>
      <c r="F32" s="57" t="str">
        <f>IF(ISERROR(IF(VLOOKUP($C32,'STARTOVNÍ LISTINA'!$A$8:$E$37,5,0)=0,"",VLOOKUP($C32,'STARTOVNÍ LISTINA'!$A$8:$E$37,5,0)))=TRUE,"",IF(VLOOKUP($C32,'STARTOVNÍ LISTINA'!$A$8:$E$37,5,0)=0,"",VLOOKUP($C32,'STARTOVNÍ LISTINA'!$A$8:$E$37,5,0)))</f>
        <v/>
      </c>
      <c r="G32" s="39"/>
    </row>
    <row r="33" spans="1:7" s="40" customFormat="1" ht="20.100000000000001" customHeight="1">
      <c r="A33" s="48">
        <v>25</v>
      </c>
      <c r="B33" s="141" t="str">
        <f>IF(ISERROR(IF(VLOOKUP($C33,'STARTOVNÍ LISTINA'!$A$8:$E$37,2,0)=0,"",VLOOKUP($C33,'STARTOVNÍ LISTINA'!$A$8:$E$37,2,0)))=TRUE,"",IF(VLOOKUP($C33,'STARTOVNÍ LISTINA'!$A$8:$E$37,2,0)=0,"",VLOOKUP($C33,'STARTOVNÍ LISTINA'!$A$8:$E$37,2,0)))</f>
        <v/>
      </c>
      <c r="C33" s="144" t="str">
        <f>IF('STARTOVNÍ LISTINA'!B32="","",'STARTOVNÍ LISTINA'!A32)</f>
        <v/>
      </c>
      <c r="D33" s="52" t="str">
        <f>IF(ISERROR(IF(VLOOKUP($C33,'STARTOVNÍ LISTINA'!$A$8:$E$37,3,0)=0,"",VLOOKUP($C33,'STARTOVNÍ LISTINA'!$A$8:$E$37,3,0)))=TRUE,"",IF(VLOOKUP($C33,'STARTOVNÍ LISTINA'!$A$8:$E$37,3,0)=0,"",VLOOKUP($C33,'STARTOVNÍ LISTINA'!$A$8:$E$37,3,0)))</f>
        <v/>
      </c>
      <c r="E33" s="51" t="str">
        <f>IF(ISERROR(IF(VLOOKUP($C33,'STARTOVNÍ LISTINA'!$A$8:$E$37,4,0)=0,"",VLOOKUP($C33,'STARTOVNÍ LISTINA'!$A$8:$E$37,4,0)))=TRUE,"",IF(VLOOKUP($C33,'STARTOVNÍ LISTINA'!$A$8:$E$37,4,0)=0,"",VLOOKUP($C33,'STARTOVNÍ LISTINA'!$A$8:$E$37,4,0)))</f>
        <v/>
      </c>
      <c r="F33" s="57" t="str">
        <f>IF(ISERROR(IF(VLOOKUP($C33,'STARTOVNÍ LISTINA'!$A$8:$E$37,5,0)=0,"",VLOOKUP($C33,'STARTOVNÍ LISTINA'!$A$8:$E$37,5,0)))=TRUE,"",IF(VLOOKUP($C33,'STARTOVNÍ LISTINA'!$A$8:$E$37,5,0)=0,"",VLOOKUP($C33,'STARTOVNÍ LISTINA'!$A$8:$E$37,5,0)))</f>
        <v/>
      </c>
      <c r="G33" s="39"/>
    </row>
    <row r="34" spans="1:7" s="40" customFormat="1" ht="20.100000000000001" customHeight="1">
      <c r="A34" s="48">
        <v>26</v>
      </c>
      <c r="B34" s="141" t="str">
        <f>IF(ISERROR(IF(VLOOKUP($C34,'STARTOVNÍ LISTINA'!$A$8:$E$37,2,0)=0,"",VLOOKUP($C34,'STARTOVNÍ LISTINA'!$A$8:$E$37,2,0)))=TRUE,"",IF(VLOOKUP($C34,'STARTOVNÍ LISTINA'!$A$8:$E$37,2,0)=0,"",VLOOKUP($C34,'STARTOVNÍ LISTINA'!$A$8:$E$37,2,0)))</f>
        <v/>
      </c>
      <c r="C34" s="144" t="str">
        <f>IF('STARTOVNÍ LISTINA'!B33="","",'STARTOVNÍ LISTINA'!A33)</f>
        <v/>
      </c>
      <c r="D34" s="52" t="str">
        <f>IF(ISERROR(IF(VLOOKUP($C34,'STARTOVNÍ LISTINA'!$A$8:$E$37,3,0)=0,"",VLOOKUP($C34,'STARTOVNÍ LISTINA'!$A$8:$E$37,3,0)))=TRUE,"",IF(VLOOKUP($C34,'STARTOVNÍ LISTINA'!$A$8:$E$37,3,0)=0,"",VLOOKUP($C34,'STARTOVNÍ LISTINA'!$A$8:$E$37,3,0)))</f>
        <v/>
      </c>
      <c r="E34" s="51" t="str">
        <f>IF(ISERROR(IF(VLOOKUP($C34,'STARTOVNÍ LISTINA'!$A$8:$E$37,4,0)=0,"",VLOOKUP($C34,'STARTOVNÍ LISTINA'!$A$8:$E$37,4,0)))=TRUE,"",IF(VLOOKUP($C34,'STARTOVNÍ LISTINA'!$A$8:$E$37,4,0)=0,"",VLOOKUP($C34,'STARTOVNÍ LISTINA'!$A$8:$E$37,4,0)))</f>
        <v/>
      </c>
      <c r="F34" s="57" t="str">
        <f>IF(ISERROR(IF(VLOOKUP($C34,'STARTOVNÍ LISTINA'!$A$8:$E$37,5,0)=0,"",VLOOKUP($C34,'STARTOVNÍ LISTINA'!$A$8:$E$37,5,0)))=TRUE,"",IF(VLOOKUP($C34,'STARTOVNÍ LISTINA'!$A$8:$E$37,5,0)=0,"",VLOOKUP($C34,'STARTOVNÍ LISTINA'!$A$8:$E$37,5,0)))</f>
        <v/>
      </c>
      <c r="G34" s="39"/>
    </row>
    <row r="35" spans="1:7" s="40" customFormat="1" ht="20.100000000000001" customHeight="1">
      <c r="A35" s="48">
        <v>27</v>
      </c>
      <c r="B35" s="141" t="str">
        <f>IF(ISERROR(IF(VLOOKUP($C35,'STARTOVNÍ LISTINA'!$A$8:$E$37,2,0)=0,"",VLOOKUP($C35,'STARTOVNÍ LISTINA'!$A$8:$E$37,2,0)))=TRUE,"",IF(VLOOKUP($C35,'STARTOVNÍ LISTINA'!$A$8:$E$37,2,0)=0,"",VLOOKUP($C35,'STARTOVNÍ LISTINA'!$A$8:$E$37,2,0)))</f>
        <v/>
      </c>
      <c r="C35" s="144" t="str">
        <f>IF('STARTOVNÍ LISTINA'!B34="","",'STARTOVNÍ LISTINA'!A34)</f>
        <v/>
      </c>
      <c r="D35" s="52" t="str">
        <f>IF(ISERROR(IF(VLOOKUP($C35,'STARTOVNÍ LISTINA'!$A$8:$E$37,3,0)=0,"",VLOOKUP($C35,'STARTOVNÍ LISTINA'!$A$8:$E$37,3,0)))=TRUE,"",IF(VLOOKUP($C35,'STARTOVNÍ LISTINA'!$A$8:$E$37,3,0)=0,"",VLOOKUP($C35,'STARTOVNÍ LISTINA'!$A$8:$E$37,3,0)))</f>
        <v/>
      </c>
      <c r="E35" s="51" t="str">
        <f>IF(ISERROR(IF(VLOOKUP($C35,'STARTOVNÍ LISTINA'!$A$8:$E$37,4,0)=0,"",VLOOKUP($C35,'STARTOVNÍ LISTINA'!$A$8:$E$37,4,0)))=TRUE,"",IF(VLOOKUP($C35,'STARTOVNÍ LISTINA'!$A$8:$E$37,4,0)=0,"",VLOOKUP($C35,'STARTOVNÍ LISTINA'!$A$8:$E$37,4,0)))</f>
        <v/>
      </c>
      <c r="F35" s="57" t="str">
        <f>IF(ISERROR(IF(VLOOKUP($C35,'STARTOVNÍ LISTINA'!$A$8:$E$37,5,0)=0,"",VLOOKUP($C35,'STARTOVNÍ LISTINA'!$A$8:$E$37,5,0)))=TRUE,"",IF(VLOOKUP($C35,'STARTOVNÍ LISTINA'!$A$8:$E$37,5,0)=0,"",VLOOKUP($C35,'STARTOVNÍ LISTINA'!$A$8:$E$37,5,0)))</f>
        <v/>
      </c>
      <c r="G35" s="39"/>
    </row>
    <row r="36" spans="1:7" s="40" customFormat="1" ht="20.100000000000001" customHeight="1">
      <c r="A36" s="48">
        <v>28</v>
      </c>
      <c r="B36" s="141" t="str">
        <f>IF(ISERROR(IF(VLOOKUP($C36,'STARTOVNÍ LISTINA'!$A$8:$E$37,2,0)=0,"",VLOOKUP($C36,'STARTOVNÍ LISTINA'!$A$8:$E$37,2,0)))=TRUE,"",IF(VLOOKUP($C36,'STARTOVNÍ LISTINA'!$A$8:$E$37,2,0)=0,"",VLOOKUP($C36,'STARTOVNÍ LISTINA'!$A$8:$E$37,2,0)))</f>
        <v/>
      </c>
      <c r="C36" s="144" t="str">
        <f>IF('STARTOVNÍ LISTINA'!B35="","",'STARTOVNÍ LISTINA'!A35)</f>
        <v/>
      </c>
      <c r="D36" s="52" t="str">
        <f>IF(ISERROR(IF(VLOOKUP($C36,'STARTOVNÍ LISTINA'!$A$8:$E$37,3,0)=0,"",VLOOKUP($C36,'STARTOVNÍ LISTINA'!$A$8:$E$37,3,0)))=TRUE,"",IF(VLOOKUP($C36,'STARTOVNÍ LISTINA'!$A$8:$E$37,3,0)=0,"",VLOOKUP($C36,'STARTOVNÍ LISTINA'!$A$8:$E$37,3,0)))</f>
        <v/>
      </c>
      <c r="E36" s="51" t="str">
        <f>IF(ISERROR(IF(VLOOKUP($C36,'STARTOVNÍ LISTINA'!$A$8:$E$37,4,0)=0,"",VLOOKUP($C36,'STARTOVNÍ LISTINA'!$A$8:$E$37,4,0)))=TRUE,"",IF(VLOOKUP($C36,'STARTOVNÍ LISTINA'!$A$8:$E$37,4,0)=0,"",VLOOKUP($C36,'STARTOVNÍ LISTINA'!$A$8:$E$37,4,0)))</f>
        <v/>
      </c>
      <c r="F36" s="57" t="str">
        <f>IF(ISERROR(IF(VLOOKUP($C36,'STARTOVNÍ LISTINA'!$A$8:$E$37,5,0)=0,"",VLOOKUP($C36,'STARTOVNÍ LISTINA'!$A$8:$E$37,5,0)))=TRUE,"",IF(VLOOKUP($C36,'STARTOVNÍ LISTINA'!$A$8:$E$37,5,0)=0,"",VLOOKUP($C36,'STARTOVNÍ LISTINA'!$A$8:$E$37,5,0)))</f>
        <v/>
      </c>
      <c r="G36" s="39"/>
    </row>
    <row r="37" spans="1:7" s="40" customFormat="1" ht="20.100000000000001" customHeight="1">
      <c r="A37" s="48">
        <v>29</v>
      </c>
      <c r="B37" s="141" t="str">
        <f>IF(ISERROR(IF(VLOOKUP($C37,'STARTOVNÍ LISTINA'!$A$8:$E$37,2,0)=0,"",VLOOKUP($C37,'STARTOVNÍ LISTINA'!$A$8:$E$37,2,0)))=TRUE,"",IF(VLOOKUP($C37,'STARTOVNÍ LISTINA'!$A$8:$E$37,2,0)=0,"",VLOOKUP($C37,'STARTOVNÍ LISTINA'!$A$8:$E$37,2,0)))</f>
        <v/>
      </c>
      <c r="C37" s="144" t="str">
        <f>IF('STARTOVNÍ LISTINA'!B36="","",'STARTOVNÍ LISTINA'!A36)</f>
        <v/>
      </c>
      <c r="D37" s="52" t="str">
        <f>IF(ISERROR(IF(VLOOKUP($C37,'STARTOVNÍ LISTINA'!$A$8:$E$37,3,0)=0,"",VLOOKUP($C37,'STARTOVNÍ LISTINA'!$A$8:$E$37,3,0)))=TRUE,"",IF(VLOOKUP($C37,'STARTOVNÍ LISTINA'!$A$8:$E$37,3,0)=0,"",VLOOKUP($C37,'STARTOVNÍ LISTINA'!$A$8:$E$37,3,0)))</f>
        <v/>
      </c>
      <c r="E37" s="51" t="str">
        <f>IF(ISERROR(IF(VLOOKUP($C37,'STARTOVNÍ LISTINA'!$A$8:$E$37,4,0)=0,"",VLOOKUP($C37,'STARTOVNÍ LISTINA'!$A$8:$E$37,4,0)))=TRUE,"",IF(VLOOKUP($C37,'STARTOVNÍ LISTINA'!$A$8:$E$37,4,0)=0,"",VLOOKUP($C37,'STARTOVNÍ LISTINA'!$A$8:$E$37,4,0)))</f>
        <v/>
      </c>
      <c r="F37" s="57" t="str">
        <f>IF(ISERROR(IF(VLOOKUP($C37,'STARTOVNÍ LISTINA'!$A$8:$E$37,5,0)=0,"",VLOOKUP($C37,'STARTOVNÍ LISTINA'!$A$8:$E$37,5,0)))=TRUE,"",IF(VLOOKUP($C37,'STARTOVNÍ LISTINA'!$A$8:$E$37,5,0)=0,"",VLOOKUP($C37,'STARTOVNÍ LISTINA'!$A$8:$E$37,5,0)))</f>
        <v/>
      </c>
      <c r="G37" s="39"/>
    </row>
    <row r="38" spans="1:7" s="40" customFormat="1" ht="20.100000000000001" customHeight="1" thickBot="1">
      <c r="A38" s="49">
        <v>30</v>
      </c>
      <c r="B38" s="142" t="str">
        <f>IF(ISERROR(IF(VLOOKUP($C38,'STARTOVNÍ LISTINA'!$A$8:$E$37,2,0)=0,"",VLOOKUP($C38,'STARTOVNÍ LISTINA'!$A$8:$E$37,2,0)))=TRUE,"",IF(VLOOKUP($C38,'STARTOVNÍ LISTINA'!$A$8:$E$37,2,0)=0,"",VLOOKUP($C38,'STARTOVNÍ LISTINA'!$A$8:$E$37,2,0)))</f>
        <v/>
      </c>
      <c r="C38" s="145" t="str">
        <f>IF('STARTOVNÍ LISTINA'!B37="","",'STARTOVNÍ LISTINA'!A37)</f>
        <v/>
      </c>
      <c r="D38" s="53" t="str">
        <f>IF(ISERROR(IF(VLOOKUP($C38,'STARTOVNÍ LISTINA'!$A$8:$E$37,3,0)=0,"",VLOOKUP($C38,'STARTOVNÍ LISTINA'!$A$8:$E$37,3,0)))=TRUE,"",IF(VLOOKUP($C38,'STARTOVNÍ LISTINA'!$A$8:$E$37,3,0)=0,"",VLOOKUP($C38,'STARTOVNÍ LISTINA'!$A$8:$E$37,3,0)))</f>
        <v/>
      </c>
      <c r="E38" s="58" t="str">
        <f>IF(ISERROR(IF(VLOOKUP($C38,'STARTOVNÍ LISTINA'!$A$8:$E$37,4,0)=0,"",VLOOKUP($C38,'STARTOVNÍ LISTINA'!$A$8:$E$37,4,0)))=TRUE,"",IF(VLOOKUP($C38,'STARTOVNÍ LISTINA'!$A$8:$E$37,4,0)=0,"",VLOOKUP($C38,'STARTOVNÍ LISTINA'!$A$8:$E$37,4,0)))</f>
        <v/>
      </c>
      <c r="F38" s="59" t="str">
        <f>IF(ISERROR(IF(VLOOKUP($C38,'STARTOVNÍ LISTINA'!$A$8:$E$37,5,0)=0,"",VLOOKUP($C38,'STARTOVNÍ LISTINA'!$A$8:$E$37,5,0)))=TRUE,"",IF(VLOOKUP($C38,'STARTOVNÍ LISTINA'!$A$8:$E$37,5,0)=0,"",VLOOKUP($C38,'STARTOVNÍ LISTINA'!$A$8:$E$37,5,0)))</f>
        <v/>
      </c>
      <c r="G38" s="39"/>
    </row>
    <row r="39" spans="1:7">
      <c r="F39" s="146" t="s">
        <v>31</v>
      </c>
    </row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</sheetData>
  <sheetProtection selectLockedCells="1"/>
  <phoneticPr fontId="27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HW72"/>
  <sheetViews>
    <sheetView zoomScale="70" zoomScaleNormal="100" workbookViewId="0">
      <selection activeCell="A9" sqref="A9"/>
    </sheetView>
  </sheetViews>
  <sheetFormatPr defaultColWidth="0" defaultRowHeight="15" zeroHeight="1"/>
  <cols>
    <col min="1" max="1" width="9.77734375" style="33" customWidth="1"/>
    <col min="2" max="2" width="39.33203125" style="33" bestFit="1" customWidth="1"/>
    <col min="3" max="3" width="6.109375" style="33" customWidth="1"/>
    <col min="4" max="4" width="21.33203125" style="33" bestFit="1" customWidth="1"/>
    <col min="5" max="5" width="27.77734375" style="33" bestFit="1" customWidth="1"/>
    <col min="6" max="6" width="8.77734375" style="33" customWidth="1"/>
    <col min="7" max="7" width="1.77734375" style="33" customWidth="1"/>
    <col min="8" max="10" width="8.88671875" style="34" hidden="1" customWidth="1"/>
    <col min="11" max="11" width="28.77734375" style="34" hidden="1" customWidth="1"/>
    <col min="12" max="12" width="15.21875" style="34" hidden="1" customWidth="1"/>
    <col min="13" max="13" width="30.33203125" style="34" hidden="1" customWidth="1"/>
    <col min="14" max="231" width="8.88671875" style="34" hidden="1" customWidth="1"/>
    <col min="232" max="16384" width="0" style="34" hidden="1"/>
  </cols>
  <sheetData>
    <row r="1" spans="1:7" ht="30">
      <c r="A1" s="30" t="s">
        <v>15</v>
      </c>
      <c r="B1" s="31"/>
      <c r="C1" s="30"/>
      <c r="D1" s="31"/>
      <c r="E1" s="31"/>
      <c r="F1" s="32"/>
    </row>
    <row r="2" spans="1:7" ht="30">
      <c r="A2" s="30" t="s">
        <v>8</v>
      </c>
      <c r="B2" s="31"/>
      <c r="C2" s="30"/>
      <c r="D2" s="31"/>
      <c r="E2" s="31"/>
      <c r="F2" s="32"/>
    </row>
    <row r="3" spans="1:7" s="38" customFormat="1" ht="18">
      <c r="A3" s="35" t="s">
        <v>76</v>
      </c>
      <c r="B3" s="35"/>
      <c r="C3" s="35"/>
      <c r="D3" s="35"/>
      <c r="E3" s="35"/>
      <c r="F3" s="36"/>
      <c r="G3" s="37"/>
    </row>
    <row r="4" spans="1:7" s="38" customFormat="1" ht="18">
      <c r="A4" s="35" t="s">
        <v>77</v>
      </c>
      <c r="B4" s="36"/>
      <c r="C4" s="35"/>
      <c r="D4" s="36"/>
      <c r="E4" s="36"/>
      <c r="F4" s="36"/>
      <c r="G4" s="37"/>
    </row>
    <row r="5" spans="1:7" s="40" customFormat="1">
      <c r="A5" s="39"/>
      <c r="B5" s="39"/>
      <c r="C5" s="39"/>
      <c r="D5" s="39"/>
      <c r="E5" s="39"/>
      <c r="F5" s="39"/>
      <c r="G5" s="39"/>
    </row>
    <row r="6" spans="1:7" s="40" customFormat="1">
      <c r="A6" s="41" t="s">
        <v>146</v>
      </c>
      <c r="B6" s="39"/>
      <c r="C6" s="41"/>
      <c r="D6" s="39"/>
      <c r="E6" s="39"/>
      <c r="F6" s="42" t="s">
        <v>145</v>
      </c>
      <c r="G6" s="39"/>
    </row>
    <row r="7" spans="1:7" s="40" customFormat="1" ht="15.75" thickBot="1">
      <c r="A7" s="39"/>
      <c r="B7" s="39"/>
      <c r="C7" s="39"/>
      <c r="D7" s="39"/>
      <c r="E7" s="39"/>
      <c r="F7" s="39"/>
      <c r="G7" s="39"/>
    </row>
    <row r="8" spans="1:7" s="40" customFormat="1" ht="35.1" customHeight="1" thickBot="1">
      <c r="A8" s="43" t="s">
        <v>30</v>
      </c>
      <c r="B8" s="45" t="s">
        <v>1</v>
      </c>
      <c r="C8" s="44" t="s">
        <v>17</v>
      </c>
      <c r="D8" s="44" t="s">
        <v>2</v>
      </c>
      <c r="E8" s="45" t="s">
        <v>3</v>
      </c>
      <c r="F8" s="46" t="s">
        <v>13</v>
      </c>
      <c r="G8" s="39"/>
    </row>
    <row r="9" spans="1:7" s="40" customFormat="1" ht="20.100000000000001" customHeight="1">
      <c r="A9" s="47">
        <v>1</v>
      </c>
      <c r="B9" s="141" t="str">
        <f>IF(ISERROR(VLOOKUP($C9,'STARTOVNÍ LISTINA'!$A$8:$E$37,2,0))=TRUE,"",VLOOKUP($C9,'STARTOVNÍ LISTINA'!$A$8:$E$37,2,0))</f>
        <v>NOVÁ Ladislava, str.</v>
      </c>
      <c r="C9" s="143">
        <v>22</v>
      </c>
      <c r="D9" s="52" t="str">
        <f>IF(ISERROR(VLOOKUP($C9,'STARTOVNÍ LISTINA'!$A$8:$E$37,3,0))=TRUE,"",VLOOKUP($C9,'STARTOVNÍ LISTINA'!$A$8:$E$37,3,0))</f>
        <v>SOLO MATERA</v>
      </c>
      <c r="E9" s="51" t="str">
        <f>IF(ISERROR(VLOOKUP($C9,'STARTOVNÍ LISTINA'!$A$8:$E$37,4,0))=TRUE,"",VLOOKUP($C9,'STARTOVNÍ LISTINA'!$A$8:$E$37,4,0))</f>
        <v>MP Praha</v>
      </c>
      <c r="F9" s="56"/>
      <c r="G9" s="39"/>
    </row>
    <row r="10" spans="1:7" s="40" customFormat="1" ht="20.100000000000001" customHeight="1">
      <c r="A10" s="48">
        <v>2</v>
      </c>
      <c r="B10" s="141" t="str">
        <f>IF(ISERROR(VLOOKUP($C10,'STARTOVNÍ LISTINA'!$A$8:$E$37,2,0))=TRUE,"",VLOOKUP($C10,'STARTOVNÍ LISTINA'!$A$8:$E$37,2,0))</f>
        <v>HRADIL Tomáš, pprap.</v>
      </c>
      <c r="C10" s="144">
        <v>19</v>
      </c>
      <c r="D10" s="52" t="str">
        <f>IF(ISERROR(VLOOKUP($C10,'STARTOVNÍ LISTINA'!$A$8:$E$37,3,0))=TRUE,"",VLOOKUP($C10,'STARTOVNÍ LISTINA'!$A$8:$E$37,3,0))</f>
        <v>ŽAGIR</v>
      </c>
      <c r="E10" s="51" t="str">
        <f>IF(ISERROR(VLOOKUP($C10,'STARTOVNÍ LISTINA'!$A$8:$E$37,4,0))=TRUE,"",VLOOKUP($C10,'STARTOVNÍ LISTINA'!$A$8:$E$37,4,0))</f>
        <v>KŘP hlavního města Prahy</v>
      </c>
      <c r="F10" s="57"/>
      <c r="G10" s="39"/>
    </row>
    <row r="11" spans="1:7" s="40" customFormat="1" ht="20.100000000000001" customHeight="1">
      <c r="A11" s="48">
        <v>3</v>
      </c>
      <c r="B11" s="141" t="str">
        <f>IF(ISERROR(VLOOKUP($C11,'STARTOVNÍ LISTINA'!$A$8:$E$37,2,0))=TRUE,"",VLOOKUP($C11,'STARTOVNÍ LISTINA'!$A$8:$E$37,2,0))</f>
        <v>KUROPATNICKÁ Zuzana, nstržm.</v>
      </c>
      <c r="C11" s="144">
        <v>9</v>
      </c>
      <c r="D11" s="52" t="str">
        <f>IF(ISERROR(VLOOKUP($C11,'STARTOVNÍ LISTINA'!$A$8:$E$37,3,0))=TRUE,"",VLOOKUP($C11,'STARTOVNÍ LISTINA'!$A$8:$E$37,3,0))</f>
        <v>CASSIUS</v>
      </c>
      <c r="E11" s="51" t="str">
        <f>IF(ISERROR(VLOOKUP($C11,'STARTOVNÍ LISTINA'!$A$8:$E$37,4,0))=TRUE,"",VLOOKUP($C11,'STARTOVNÍ LISTINA'!$A$8:$E$37,4,0))</f>
        <v>KŘP hlavního města Prahy</v>
      </c>
      <c r="F11" s="57"/>
      <c r="G11" s="39"/>
    </row>
    <row r="12" spans="1:7" s="40" customFormat="1" ht="20.100000000000001" customHeight="1">
      <c r="A12" s="48">
        <v>4</v>
      </c>
      <c r="B12" s="141" t="str">
        <f>IF(ISERROR(VLOOKUP($C12,'STARTOVNÍ LISTINA'!$A$8:$E$37,2,0))=TRUE,"",VLOOKUP($C12,'STARTOVNÍ LISTINA'!$A$8:$E$37,2,0))</f>
        <v>PETROVIČ Zbyněk, str.</v>
      </c>
      <c r="C12" s="144">
        <v>15</v>
      </c>
      <c r="D12" s="52" t="str">
        <f>IF(ISERROR(VLOOKUP($C12,'STARTOVNÍ LISTINA'!$A$8:$E$37,3,0))=TRUE,"",VLOOKUP($C12,'STARTOVNÍ LISTINA'!$A$8:$E$37,3,0))</f>
        <v>ROMKE FAVIDA</v>
      </c>
      <c r="E12" s="51" t="str">
        <f>IF(ISERROR(VLOOKUP($C12,'STARTOVNÍ LISTINA'!$A$8:$E$37,4,0))=TRUE,"",VLOOKUP($C12,'STARTOVNÍ LISTINA'!$A$8:$E$37,4,0))</f>
        <v>MP Praha</v>
      </c>
      <c r="F12" s="57"/>
      <c r="G12" s="39"/>
    </row>
    <row r="13" spans="1:7" s="40" customFormat="1" ht="20.100000000000001" customHeight="1">
      <c r="A13" s="48">
        <v>5</v>
      </c>
      <c r="B13" s="141" t="str">
        <f>IF(ISERROR(VLOOKUP($C13,'STARTOVNÍ LISTINA'!$A$8:$E$37,2,0))=TRUE,"",VLOOKUP($C13,'STARTOVNÍ LISTINA'!$A$8:$E$37,2,0))</f>
        <v>PILKO Stephan</v>
      </c>
      <c r="C13" s="144">
        <v>16</v>
      </c>
      <c r="D13" s="52" t="str">
        <f>IF(ISERROR(VLOOKUP($C13,'STARTOVNÍ LISTINA'!$A$8:$E$37,3,0))=TRUE,"",VLOOKUP($C13,'STARTOVNÍ LISTINA'!$A$8:$E$37,3,0))</f>
        <v>QUICK STEP</v>
      </c>
      <c r="E13" s="51" t="str">
        <f>IF(ISERROR(VLOOKUP($C13,'STARTOVNÍ LISTINA'!$A$8:$E$37,4,0))=TRUE,"",VLOOKUP($C13,'STARTOVNÍ LISTINA'!$A$8:$E$37,4,0))</f>
        <v>NĚMECKO, Sasko</v>
      </c>
      <c r="F13" s="57"/>
      <c r="G13" s="39"/>
    </row>
    <row r="14" spans="1:7" s="40" customFormat="1" ht="20.100000000000001" customHeight="1">
      <c r="A14" s="48">
        <v>6</v>
      </c>
      <c r="B14" s="141" t="str">
        <f>IF(ISERROR(VLOOKUP($C14,'STARTOVNÍ LISTINA'!$A$8:$E$37,2,0))=TRUE,"",VLOOKUP($C14,'STARTOVNÍ LISTINA'!$A$8:$E$37,2,0))</f>
        <v>SZIVACKI Joszef Tibor</v>
      </c>
      <c r="C14" s="144">
        <v>3</v>
      </c>
      <c r="D14" s="52" t="str">
        <f>IF(ISERROR(VLOOKUP($C14,'STARTOVNÍ LISTINA'!$A$8:$E$37,3,0))=TRUE,"",VLOOKUP($C14,'STARTOVNÍ LISTINA'!$A$8:$E$37,3,0))</f>
        <v>VELÚR</v>
      </c>
      <c r="E14" s="51" t="str">
        <f>IF(ISERROR(VLOOKUP($C14,'STARTOVNÍ LISTINA'!$A$8:$E$37,4,0))=TRUE,"",VLOOKUP($C14,'STARTOVNÍ LISTINA'!$A$8:$E$37,4,0))</f>
        <v>MAĎARSKO</v>
      </c>
      <c r="F14" s="57"/>
      <c r="G14" s="39"/>
    </row>
    <row r="15" spans="1:7" s="40" customFormat="1" ht="20.100000000000001" customHeight="1">
      <c r="A15" s="48">
        <v>7</v>
      </c>
      <c r="B15" s="141" t="str">
        <f>IF(ISERROR(VLOOKUP($C15,'STARTOVNÍ LISTINA'!$A$8:$E$37,2,0))=TRUE,"",VLOOKUP($C15,'STARTOVNÍ LISTINA'!$A$8:$E$37,2,0))</f>
        <v>GASPÁR György</v>
      </c>
      <c r="C15" s="144">
        <v>5</v>
      </c>
      <c r="D15" s="52" t="str">
        <f>IF(ISERROR(VLOOKUP($C15,'STARTOVNÍ LISTINA'!$A$8:$E$37,3,0))=TRUE,"",VLOOKUP($C15,'STARTOVNÍ LISTINA'!$A$8:$E$37,3,0))</f>
        <v>RUBIN</v>
      </c>
      <c r="E15" s="51" t="str">
        <f>IF(ISERROR(VLOOKUP($C15,'STARTOVNÍ LISTINA'!$A$8:$E$37,4,0))=TRUE,"",VLOOKUP($C15,'STARTOVNÍ LISTINA'!$A$8:$E$37,4,0))</f>
        <v>MAĎARSKO</v>
      </c>
      <c r="F15" s="57"/>
      <c r="G15" s="39"/>
    </row>
    <row r="16" spans="1:7" s="40" customFormat="1" ht="20.100000000000001" customHeight="1">
      <c r="A16" s="48">
        <v>8</v>
      </c>
      <c r="B16" s="141" t="str">
        <f>IF(ISERROR(VLOOKUP($C16,'STARTOVNÍ LISTINA'!$A$8:$E$37,2,0))=TRUE,"",VLOOKUP($C16,'STARTOVNÍ LISTINA'!$A$8:$E$37,2,0))</f>
        <v>TRNKOVÁ Simona, str.</v>
      </c>
      <c r="C16" s="144">
        <v>12</v>
      </c>
      <c r="D16" s="52" t="str">
        <f>IF(ISERROR(VLOOKUP($C16,'STARTOVNÍ LISTINA'!$A$8:$E$37,3,0))=TRUE,"",VLOOKUP($C16,'STARTOVNÍ LISTINA'!$A$8:$E$37,3,0))</f>
        <v>SOLO XALA</v>
      </c>
      <c r="E16" s="51" t="str">
        <f>IF(ISERROR(VLOOKUP($C16,'STARTOVNÍ LISTINA'!$A$8:$E$37,4,0))=TRUE,"",VLOOKUP($C16,'STARTOVNÍ LISTINA'!$A$8:$E$37,4,0))</f>
        <v>MP Praha</v>
      </c>
      <c r="F16" s="57"/>
      <c r="G16" s="39"/>
    </row>
    <row r="17" spans="1:7" s="40" customFormat="1" ht="20.100000000000001" customHeight="1">
      <c r="A17" s="48">
        <v>9</v>
      </c>
      <c r="B17" s="141" t="str">
        <f>IF(ISERROR(VLOOKUP($C17,'STARTOVNÍ LISTINA'!$A$8:$E$37,2,0))=TRUE,"",VLOOKUP($C17,'STARTOVNÍ LISTINA'!$A$8:$E$37,2,0))</f>
        <v>BUROV Roman</v>
      </c>
      <c r="C17" s="144">
        <v>10</v>
      </c>
      <c r="D17" s="52" t="str">
        <f>IF(ISERROR(VLOOKUP($C17,'STARTOVNÍ LISTINA'!$A$8:$E$37,3,0))=TRUE,"",VLOOKUP($C17,'STARTOVNÍ LISTINA'!$A$8:$E$37,3,0))</f>
        <v>BOSS (KŘP JMK)</v>
      </c>
      <c r="E17" s="51" t="str">
        <f>IF(ISERROR(VLOOKUP($C17,'STARTOVNÍ LISTINA'!$A$8:$E$37,4,0))=TRUE,"",VLOOKUP($C17,'STARTOVNÍ LISTINA'!$A$8:$E$37,4,0))</f>
        <v>RUSKO, Moskva</v>
      </c>
      <c r="F17" s="57"/>
      <c r="G17" s="39"/>
    </row>
    <row r="18" spans="1:7" s="40" customFormat="1" ht="20.100000000000001" customHeight="1">
      <c r="A18" s="48">
        <v>10</v>
      </c>
      <c r="B18" s="141" t="str">
        <f>IF(ISERROR(VLOOKUP($C18,'STARTOVNÍ LISTINA'!$A$8:$E$37,2,0))=TRUE,"",VLOOKUP($C18,'STARTOVNÍ LISTINA'!$A$8:$E$37,2,0))</f>
        <v>ZGOLA Marián, ppráp.</v>
      </c>
      <c r="C18" s="144">
        <v>4</v>
      </c>
      <c r="D18" s="52" t="str">
        <f>IF(ISERROR(VLOOKUP($C18,'STARTOVNÍ LISTINA'!$A$8:$E$37,3,0))=TRUE,"",VLOOKUP($C18,'STARTOVNÍ LISTINA'!$A$8:$E$37,3,0))</f>
        <v>LAPAZ 21</v>
      </c>
      <c r="E18" s="51" t="str">
        <f>IF(ISERROR(VLOOKUP($C18,'STARTOVNÍ LISTINA'!$A$8:$E$37,4,0))=TRUE,"",VLOOKUP($C18,'STARTOVNÍ LISTINA'!$A$8:$E$37,4,0))</f>
        <v>SLOVENSKO, Košice</v>
      </c>
      <c r="F18" s="60"/>
      <c r="G18" s="39"/>
    </row>
    <row r="19" spans="1:7" s="40" customFormat="1" ht="20.100000000000001" customHeight="1">
      <c r="A19" s="48">
        <v>11</v>
      </c>
      <c r="B19" s="141" t="str">
        <f>IF(ISERROR(VLOOKUP($C19,'STARTOVNÍ LISTINA'!$A$8:$E$37,2,0))=TRUE,"",VLOOKUP($C19,'STARTOVNÍ LISTINA'!$A$8:$E$37,2,0))</f>
        <v>POKORNÁ Hana, pprap.</v>
      </c>
      <c r="C19" s="144">
        <v>8</v>
      </c>
      <c r="D19" s="52" t="str">
        <f>IF(ISERROR(VLOOKUP($C19,'STARTOVNÍ LISTINA'!$A$8:$E$37,3,0))=TRUE,"",VLOOKUP($C19,'STARTOVNÍ LISTINA'!$A$8:$E$37,3,0))</f>
        <v>HUBERT</v>
      </c>
      <c r="E19" s="51" t="str">
        <f>IF(ISERROR(VLOOKUP($C19,'STARTOVNÍ LISTINA'!$A$8:$E$37,4,0))=TRUE,"",VLOOKUP($C19,'STARTOVNÍ LISTINA'!$A$8:$E$37,4,0))</f>
        <v>KŘP Zlínského kraje</v>
      </c>
      <c r="F19" s="57"/>
      <c r="G19" s="39"/>
    </row>
    <row r="20" spans="1:7" s="40" customFormat="1" ht="20.100000000000001" customHeight="1">
      <c r="A20" s="48">
        <v>12</v>
      </c>
      <c r="B20" s="141" t="str">
        <f>IF(ISERROR(VLOOKUP($C20,'STARTOVNÍ LISTINA'!$A$8:$E$37,2,0))=TRUE,"",VLOOKUP($C20,'STARTOVNÍ LISTINA'!$A$8:$E$37,2,0))</f>
        <v>SVOBODA Lukáš, nstržm.</v>
      </c>
      <c r="C20" s="144">
        <v>17</v>
      </c>
      <c r="D20" s="52" t="str">
        <f>IF(ISERROR(VLOOKUP($C20,'STARTOVNÍ LISTINA'!$A$8:$E$37,3,0))=TRUE,"",VLOOKUP($C20,'STARTOVNÍ LISTINA'!$A$8:$E$37,3,0))</f>
        <v>SANTÉ</v>
      </c>
      <c r="E20" s="51" t="str">
        <f>IF(ISERROR(VLOOKUP($C20,'STARTOVNÍ LISTINA'!$A$8:$E$37,4,0))=TRUE,"",VLOOKUP($C20,'STARTOVNÍ LISTINA'!$A$8:$E$37,4,0))</f>
        <v>KŘP hlavního města Prahy</v>
      </c>
      <c r="F20" s="57"/>
      <c r="G20" s="39"/>
    </row>
    <row r="21" spans="1:7" s="40" customFormat="1" ht="20.100000000000001" customHeight="1">
      <c r="A21" s="48">
        <v>13</v>
      </c>
      <c r="B21" s="141" t="str">
        <f>IF(ISERROR(VLOOKUP($C21,'STARTOVNÍ LISTINA'!$A$8:$E$37,2,0))=TRUE,"",VLOOKUP($C21,'STARTOVNÍ LISTINA'!$A$8:$E$37,2,0))</f>
        <v>BŘEČKA Dalibor, pprap.</v>
      </c>
      <c r="C21" s="144">
        <v>6</v>
      </c>
      <c r="D21" s="52" t="str">
        <f>IF(ISERROR(VLOOKUP($C21,'STARTOVNÍ LISTINA'!$A$8:$E$37,3,0))=TRUE,"",VLOOKUP($C21,'STARTOVNÍ LISTINA'!$A$8:$E$37,3,0))</f>
        <v>TAJFUN</v>
      </c>
      <c r="E21" s="51" t="str">
        <f>IF(ISERROR(VLOOKUP($C21,'STARTOVNÍ LISTINA'!$A$8:$E$37,4,0))=TRUE,"",VLOOKUP($C21,'STARTOVNÍ LISTINA'!$A$8:$E$37,4,0))</f>
        <v>KŘP Zlínského kraje</v>
      </c>
      <c r="F21" s="57"/>
      <c r="G21" s="39"/>
    </row>
    <row r="22" spans="1:7" s="40" customFormat="1" ht="20.100000000000001" customHeight="1">
      <c r="A22" s="48">
        <v>14</v>
      </c>
      <c r="B22" s="141" t="str">
        <f>IF(ISERROR(VLOOKUP($C22,'STARTOVNÍ LISTINA'!$A$8:$E$37,2,0))=TRUE,"",VLOOKUP($C22,'STARTOVNÍ LISTINA'!$A$8:$E$37,2,0))</f>
        <v>VYSLOUŽILOVÁ Martina, pprap.</v>
      </c>
      <c r="C22" s="144">
        <v>11</v>
      </c>
      <c r="D22" s="52" t="str">
        <f>IF(ISERROR(VLOOKUP($C22,'STARTOVNÍ LISTINA'!$A$8:$E$37,3,0))=TRUE,"",VLOOKUP($C22,'STARTOVNÍ LISTINA'!$A$8:$E$37,3,0))</f>
        <v>PRESTIGE</v>
      </c>
      <c r="E22" s="51" t="str">
        <f>IF(ISERROR(VLOOKUP($C22,'STARTOVNÍ LISTINA'!$A$8:$E$37,4,0))=TRUE,"",VLOOKUP($C22,'STARTOVNÍ LISTINA'!$A$8:$E$37,4,0))</f>
        <v>KŘP Jihomoravského kraje</v>
      </c>
      <c r="F22" s="57"/>
      <c r="G22" s="39"/>
    </row>
    <row r="23" spans="1:7" s="40" customFormat="1" ht="20.100000000000001" customHeight="1">
      <c r="A23" s="48">
        <v>15</v>
      </c>
      <c r="B23" s="141" t="str">
        <f>IF(ISERROR(VLOOKUP($C23,'STARTOVNÍ LISTINA'!$A$8:$E$37,2,0))=TRUE,"",VLOOKUP($C23,'STARTOVNÍ LISTINA'!$A$8:$E$37,2,0))</f>
        <v>ZEDNÍČEK Libor, str.</v>
      </c>
      <c r="C23" s="144">
        <v>18</v>
      </c>
      <c r="D23" s="52" t="str">
        <f>IF(ISERROR(VLOOKUP($C23,'STARTOVNÍ LISTINA'!$A$8:$E$37,3,0))=TRUE,"",VLOOKUP($C23,'STARTOVNÍ LISTINA'!$A$8:$E$37,3,0))</f>
        <v>SOLO MACARENA</v>
      </c>
      <c r="E23" s="51" t="str">
        <f>IF(ISERROR(VLOOKUP($C23,'STARTOVNÍ LISTINA'!$A$8:$E$37,4,0))=TRUE,"",VLOOKUP($C23,'STARTOVNÍ LISTINA'!$A$8:$E$37,4,0))</f>
        <v>MP Ostrava</v>
      </c>
      <c r="F23" s="57"/>
      <c r="G23" s="39"/>
    </row>
    <row r="24" spans="1:7" s="40" customFormat="1" ht="20.100000000000001" customHeight="1">
      <c r="A24" s="48">
        <v>16</v>
      </c>
      <c r="B24" s="141" t="str">
        <f>IF(ISERROR(VLOOKUP($C24,'STARTOVNÍ LISTINA'!$A$8:$E$37,2,0))=TRUE,"",VLOOKUP($C24,'STARTOVNÍ LISTINA'!$A$8:$E$37,2,0))</f>
        <v>NOVÁK Tomáš, str.</v>
      </c>
      <c r="C24" s="144">
        <v>7</v>
      </c>
      <c r="D24" s="52" t="str">
        <f>IF(ISERROR(VLOOKUP($C24,'STARTOVNÍ LISTINA'!$A$8:$E$37,3,0))=TRUE,"",VLOOKUP($C24,'STARTOVNÍ LISTINA'!$A$8:$E$37,3,0))</f>
        <v>SOLO PANDORA</v>
      </c>
      <c r="E24" s="51" t="str">
        <f>IF(ISERROR(VLOOKUP($C24,'STARTOVNÍ LISTINA'!$A$8:$E$37,4,0))=TRUE,"",VLOOKUP($C24,'STARTOVNÍ LISTINA'!$A$8:$E$37,4,0))</f>
        <v>MP Ostrava</v>
      </c>
      <c r="F24" s="57"/>
      <c r="G24" s="39"/>
    </row>
    <row r="25" spans="1:7" s="40" customFormat="1" ht="20.100000000000001" customHeight="1">
      <c r="A25" s="48">
        <v>17</v>
      </c>
      <c r="B25" s="141" t="str">
        <f>IF(ISERROR(VLOOKUP($C25,'STARTOVNÍ LISTINA'!$A$8:$E$37,2,0))=TRUE,"",VLOOKUP($C25,'STARTOVNÍ LISTINA'!$A$8:$E$37,2,0))</f>
        <v>BONK Christin</v>
      </c>
      <c r="C25" s="144">
        <v>13</v>
      </c>
      <c r="D25" s="52" t="str">
        <f>IF(ISERROR(VLOOKUP($C25,'STARTOVNÍ LISTINA'!$A$8:$E$37,3,0))=TRUE,"",VLOOKUP($C25,'STARTOVNÍ LISTINA'!$A$8:$E$37,3,0))</f>
        <v>KRISTAL</v>
      </c>
      <c r="E25" s="51" t="str">
        <f>IF(ISERROR(VLOOKUP($C25,'STARTOVNÍ LISTINA'!$A$8:$E$37,4,0))=TRUE,"",VLOOKUP($C25,'STARTOVNÍ LISTINA'!$A$8:$E$37,4,0))</f>
        <v>NĚMECKO, Sasko</v>
      </c>
      <c r="F25" s="57"/>
      <c r="G25" s="39"/>
    </row>
    <row r="26" spans="1:7" s="40" customFormat="1" ht="20.100000000000001" customHeight="1">
      <c r="A26" s="48">
        <v>18</v>
      </c>
      <c r="B26" s="141" t="str">
        <f>IF(ISERROR(VLOOKUP($C26,'STARTOVNÍ LISTINA'!$A$8:$E$37,2,0))=TRUE,"",VLOOKUP($C26,'STARTOVNÍ LISTINA'!$A$8:$E$37,2,0))</f>
        <v>OSTŘANSKÁ Renata, nstržm.</v>
      </c>
      <c r="C26" s="144">
        <v>14</v>
      </c>
      <c r="D26" s="52" t="str">
        <f>IF(ISERROR(VLOOKUP($C26,'STARTOVNÍ LISTINA'!$A$8:$E$37,3,0))=TRUE,"",VLOOKUP($C26,'STARTOVNÍ LISTINA'!$A$8:$E$37,3,0))</f>
        <v>VIZIR</v>
      </c>
      <c r="E26" s="51" t="str">
        <f>IF(ISERROR(VLOOKUP($C26,'STARTOVNÍ LISTINA'!$A$8:$E$37,4,0))=TRUE,"",VLOOKUP($C26,'STARTOVNÍ LISTINA'!$A$8:$E$37,4,0))</f>
        <v>KŘP Jihomoravského kraje</v>
      </c>
      <c r="F26" s="57"/>
      <c r="G26" s="39"/>
    </row>
    <row r="27" spans="1:7" s="40" customFormat="1" ht="20.100000000000001" customHeight="1">
      <c r="A27" s="48">
        <v>19</v>
      </c>
      <c r="B27" s="141" t="str">
        <f>IF(ISERROR(VLOOKUP($C27,'STARTOVNÍ LISTINA'!$A$8:$E$37,2,0))=TRUE,"",VLOOKUP($C27,'STARTOVNÍ LISTINA'!$A$8:$E$37,2,0))</f>
        <v>JOHN Přemysl, nstržm.</v>
      </c>
      <c r="C27" s="144">
        <v>21</v>
      </c>
      <c r="D27" s="52" t="str">
        <f>IF(ISERROR(VLOOKUP($C27,'STARTOVNÍ LISTINA'!$A$8:$E$37,3,0))=TRUE,"",VLOOKUP($C27,'STARTOVNÍ LISTINA'!$A$8:$E$37,3,0))</f>
        <v>DERWISZ</v>
      </c>
      <c r="E27" s="51" t="str">
        <f>IF(ISERROR(VLOOKUP($C27,'STARTOVNÍ LISTINA'!$A$8:$E$37,4,0))=TRUE,"",VLOOKUP($C27,'STARTOVNÍ LISTINA'!$A$8:$E$37,4,0))</f>
        <v>KŘP Jihomoravského kraje</v>
      </c>
      <c r="F27" s="57"/>
      <c r="G27" s="39"/>
    </row>
    <row r="28" spans="1:7" s="40" customFormat="1" ht="20.100000000000001" customHeight="1">
      <c r="A28" s="48">
        <v>20</v>
      </c>
      <c r="B28" s="141" t="str">
        <f>IF(ISERROR(VLOOKUP($C28,'STARTOVNÍ LISTINA'!$A$8:$E$37,2,0))=TRUE,"",VLOOKUP($C28,'STARTOVNÍ LISTINA'!$A$8:$E$37,2,0))</f>
        <v>SLEZÁK Michal, nstržm. Ing.</v>
      </c>
      <c r="C28" s="144">
        <v>1</v>
      </c>
      <c r="D28" s="52" t="str">
        <f>IF(ISERROR(VLOOKUP($C28,'STARTOVNÍ LISTINA'!$A$8:$E$37,3,0))=TRUE,"",VLOOKUP($C28,'STARTOVNÍ LISTINA'!$A$8:$E$37,3,0))</f>
        <v>ENRICO</v>
      </c>
      <c r="E28" s="51" t="str">
        <f>IF(ISERROR(VLOOKUP($C28,'STARTOVNÍ LISTINA'!$A$8:$E$37,4,0))=TRUE,"",VLOOKUP($C28,'STARTOVNÍ LISTINA'!$A$8:$E$37,4,0))</f>
        <v>KŘP Jihomoravského kraje</v>
      </c>
      <c r="F28" s="57"/>
      <c r="G28" s="39"/>
    </row>
    <row r="29" spans="1:7" s="40" customFormat="1" ht="20.100000000000001" customHeight="1">
      <c r="A29" s="48">
        <v>21</v>
      </c>
      <c r="B29" s="141" t="str">
        <f>IF(ISERROR(VLOOKUP($C29,'STARTOVNÍ LISTINA'!$A$8:$E$37,2,0))=TRUE,"",VLOOKUP($C29,'STARTOVNÍ LISTINA'!$A$8:$E$37,2,0))</f>
        <v>HORNÍK Martin, str. Ing.</v>
      </c>
      <c r="C29" s="144">
        <v>20</v>
      </c>
      <c r="D29" s="52" t="str">
        <f>IF(ISERROR(VLOOKUP($C29,'STARTOVNÍ LISTINA'!$A$8:$E$37,3,0))=TRUE,"",VLOOKUP($C29,'STARTOVNÍ LISTINA'!$A$8:$E$37,3,0))</f>
        <v>SACRAMOSO XANTA ALBA</v>
      </c>
      <c r="E29" s="51" t="str">
        <f>IF(ISERROR(VLOOKUP($C29,'STARTOVNÍ LISTINA'!$A$8:$E$37,4,0))=TRUE,"",VLOOKUP($C29,'STARTOVNÍ LISTINA'!$A$8:$E$37,4,0))</f>
        <v>MP Praha</v>
      </c>
      <c r="F29" s="57"/>
      <c r="G29" s="39"/>
    </row>
    <row r="30" spans="1:7" s="40" customFormat="1" ht="20.100000000000001" customHeight="1">
      <c r="A30" s="48">
        <v>22</v>
      </c>
      <c r="B30" s="141" t="str">
        <f>IF(ISERROR(VLOOKUP($C30,'STARTOVNÍ LISTINA'!$A$8:$E$37,2,0))=TRUE,"",VLOOKUP($C30,'STARTOVNÍ LISTINA'!$A$8:$E$37,2,0))</f>
        <v>ŠEJSTAL Radek, prap.</v>
      </c>
      <c r="C30" s="144">
        <v>2</v>
      </c>
      <c r="D30" s="52" t="str">
        <f>IF(ISERROR(VLOOKUP($C30,'STARTOVNÍ LISTINA'!$A$8:$E$37,3,0))=TRUE,"",VLOOKUP($C30,'STARTOVNÍ LISTINA'!$A$8:$E$37,3,0))</f>
        <v>LISTR</v>
      </c>
      <c r="E30" s="51" t="str">
        <f>IF(ISERROR(VLOOKUP($C30,'STARTOVNÍ LISTINA'!$A$8:$E$37,4,0))=TRUE,"",VLOOKUP($C30,'STARTOVNÍ LISTINA'!$A$8:$E$37,4,0))</f>
        <v>KŘP Jihomoravského kraje</v>
      </c>
      <c r="F30" s="57"/>
      <c r="G30" s="39"/>
    </row>
    <row r="31" spans="1:7" s="40" customFormat="1" ht="20.100000000000001" customHeight="1">
      <c r="A31" s="48">
        <v>23</v>
      </c>
      <c r="B31" s="141" t="str">
        <f>IF(ISERROR(VLOOKUP($C31,'STARTOVNÍ LISTINA'!$A$8:$E$37,2,0))=TRUE,"",VLOOKUP($C31,'STARTOVNÍ LISTINA'!$A$8:$E$37,2,0))</f>
        <v/>
      </c>
      <c r="C31" s="144" t="str">
        <f>PRAC!M30</f>
        <v/>
      </c>
      <c r="D31" s="52" t="str">
        <f>IF(ISERROR(VLOOKUP($C31,'STARTOVNÍ LISTINA'!$A$8:$E$37,3,0))=TRUE,"",VLOOKUP($C31,'STARTOVNÍ LISTINA'!$A$8:$E$37,3,0))</f>
        <v/>
      </c>
      <c r="E31" s="51" t="str">
        <f>IF(ISERROR(VLOOKUP($C31,'STARTOVNÍ LISTINA'!$A$8:$E$37,4,0))=TRUE,"",VLOOKUP($C31,'STARTOVNÍ LISTINA'!$A$8:$E$37,4,0))</f>
        <v/>
      </c>
      <c r="F31" s="57" t="str">
        <f>IF(ISERROR(VLOOKUP($C31,'STARTOVNÍ LISTINA'!$A$8:$E$37,5,0))=TRUE,"",IF(VLOOKUP($C31,'STARTOVNÍ LISTINA'!$A$8:$E$37,5,0)=0,"",VLOOKUP($C31,'STARTOVNÍ LISTINA'!$A$8:$E$37,5,0)))</f>
        <v/>
      </c>
      <c r="G31" s="39"/>
    </row>
    <row r="32" spans="1:7" s="40" customFormat="1" ht="20.100000000000001" customHeight="1">
      <c r="A32" s="48">
        <v>24</v>
      </c>
      <c r="B32" s="141" t="str">
        <f>IF(ISERROR(VLOOKUP($C32,'STARTOVNÍ LISTINA'!$A$8:$E$37,2,0))=TRUE,"",VLOOKUP($C32,'STARTOVNÍ LISTINA'!$A$8:$E$37,2,0))</f>
        <v/>
      </c>
      <c r="C32" s="144" t="str">
        <f>PRAC!M31</f>
        <v/>
      </c>
      <c r="D32" s="52" t="str">
        <f>IF(ISERROR(VLOOKUP($C32,'STARTOVNÍ LISTINA'!$A$8:$E$37,3,0))=TRUE,"",VLOOKUP($C32,'STARTOVNÍ LISTINA'!$A$8:$E$37,3,0))</f>
        <v/>
      </c>
      <c r="E32" s="51" t="str">
        <f>IF(ISERROR(VLOOKUP($C32,'STARTOVNÍ LISTINA'!$A$8:$E$37,4,0))=TRUE,"",VLOOKUP($C32,'STARTOVNÍ LISTINA'!$A$8:$E$37,4,0))</f>
        <v/>
      </c>
      <c r="F32" s="57" t="str">
        <f>IF(ISERROR(VLOOKUP($C32,'STARTOVNÍ LISTINA'!$A$8:$E$37,5,0))=TRUE,"",IF(VLOOKUP($C32,'STARTOVNÍ LISTINA'!$A$8:$E$37,5,0)=0,"",VLOOKUP($C32,'STARTOVNÍ LISTINA'!$A$8:$E$37,5,0)))</f>
        <v/>
      </c>
      <c r="G32" s="39"/>
    </row>
    <row r="33" spans="1:7" s="40" customFormat="1" ht="20.100000000000001" customHeight="1">
      <c r="A33" s="48">
        <v>25</v>
      </c>
      <c r="B33" s="141" t="str">
        <f>IF(ISERROR(VLOOKUP($C33,'STARTOVNÍ LISTINA'!$A$8:$E$37,2,0))=TRUE,"",VLOOKUP($C33,'STARTOVNÍ LISTINA'!$A$8:$E$37,2,0))</f>
        <v/>
      </c>
      <c r="C33" s="144" t="str">
        <f>PRAC!M32</f>
        <v/>
      </c>
      <c r="D33" s="52" t="str">
        <f>IF(ISERROR(VLOOKUP($C33,'STARTOVNÍ LISTINA'!$A$8:$E$37,3,0))=TRUE,"",VLOOKUP($C33,'STARTOVNÍ LISTINA'!$A$8:$E$37,3,0))</f>
        <v/>
      </c>
      <c r="E33" s="51" t="str">
        <f>IF(ISERROR(VLOOKUP($C33,'STARTOVNÍ LISTINA'!$A$8:$E$37,4,0))=TRUE,"",VLOOKUP($C33,'STARTOVNÍ LISTINA'!$A$8:$E$37,4,0))</f>
        <v/>
      </c>
      <c r="F33" s="57" t="str">
        <f>IF(ISERROR(VLOOKUP($C33,'STARTOVNÍ LISTINA'!$A$8:$E$37,5,0))=TRUE,"",IF(VLOOKUP($C33,'STARTOVNÍ LISTINA'!$A$8:$E$37,5,0)=0,"",VLOOKUP($C33,'STARTOVNÍ LISTINA'!$A$8:$E$37,5,0)))</f>
        <v/>
      </c>
      <c r="G33" s="39"/>
    </row>
    <row r="34" spans="1:7" s="40" customFormat="1" ht="20.100000000000001" customHeight="1">
      <c r="A34" s="48">
        <v>26</v>
      </c>
      <c r="B34" s="141" t="str">
        <f>IF(ISERROR(VLOOKUP($C34,'STARTOVNÍ LISTINA'!$A$8:$E$37,2,0))=TRUE,"",VLOOKUP($C34,'STARTOVNÍ LISTINA'!$A$8:$E$37,2,0))</f>
        <v/>
      </c>
      <c r="C34" s="144" t="str">
        <f>PRAC!M33</f>
        <v/>
      </c>
      <c r="D34" s="52" t="str">
        <f>IF(ISERROR(VLOOKUP($C34,'STARTOVNÍ LISTINA'!$A$8:$E$37,3,0))=TRUE,"",VLOOKUP($C34,'STARTOVNÍ LISTINA'!$A$8:$E$37,3,0))</f>
        <v/>
      </c>
      <c r="E34" s="51" t="str">
        <f>IF(ISERROR(VLOOKUP($C34,'STARTOVNÍ LISTINA'!$A$8:$E$37,4,0))=TRUE,"",VLOOKUP($C34,'STARTOVNÍ LISTINA'!$A$8:$E$37,4,0))</f>
        <v/>
      </c>
      <c r="F34" s="57" t="str">
        <f>IF(ISERROR(VLOOKUP($C34,'STARTOVNÍ LISTINA'!$A$8:$E$37,5,0))=TRUE,"",IF(VLOOKUP($C34,'STARTOVNÍ LISTINA'!$A$8:$E$37,5,0)=0,"",VLOOKUP($C34,'STARTOVNÍ LISTINA'!$A$8:$E$37,5,0)))</f>
        <v/>
      </c>
      <c r="G34" s="39"/>
    </row>
    <row r="35" spans="1:7" s="40" customFormat="1" ht="20.100000000000001" customHeight="1">
      <c r="A35" s="48">
        <v>27</v>
      </c>
      <c r="B35" s="141" t="str">
        <f>IF(ISERROR(VLOOKUP($C35,'STARTOVNÍ LISTINA'!$A$8:$E$37,2,0))=TRUE,"",VLOOKUP($C35,'STARTOVNÍ LISTINA'!$A$8:$E$37,2,0))</f>
        <v/>
      </c>
      <c r="C35" s="144" t="str">
        <f>PRAC!M34</f>
        <v/>
      </c>
      <c r="D35" s="52" t="str">
        <f>IF(ISERROR(VLOOKUP($C35,'STARTOVNÍ LISTINA'!$A$8:$E$37,3,0))=TRUE,"",VLOOKUP($C35,'STARTOVNÍ LISTINA'!$A$8:$E$37,3,0))</f>
        <v/>
      </c>
      <c r="E35" s="51" t="str">
        <f>IF(ISERROR(VLOOKUP($C35,'STARTOVNÍ LISTINA'!$A$8:$E$37,4,0))=TRUE,"",VLOOKUP($C35,'STARTOVNÍ LISTINA'!$A$8:$E$37,4,0))</f>
        <v/>
      </c>
      <c r="F35" s="57" t="str">
        <f>IF(ISERROR(VLOOKUP($C35,'STARTOVNÍ LISTINA'!$A$8:$E$37,5,0))=TRUE,"",IF(VLOOKUP($C35,'STARTOVNÍ LISTINA'!$A$8:$E$37,5,0)=0,"",VLOOKUP($C35,'STARTOVNÍ LISTINA'!$A$8:$E$37,5,0)))</f>
        <v/>
      </c>
      <c r="G35" s="39"/>
    </row>
    <row r="36" spans="1:7" s="40" customFormat="1" ht="20.100000000000001" customHeight="1">
      <c r="A36" s="48">
        <v>28</v>
      </c>
      <c r="B36" s="141" t="str">
        <f>IF(ISERROR(VLOOKUP($C36,'STARTOVNÍ LISTINA'!$A$8:$E$37,2,0))=TRUE,"",VLOOKUP($C36,'STARTOVNÍ LISTINA'!$A$8:$E$37,2,0))</f>
        <v/>
      </c>
      <c r="C36" s="144" t="str">
        <f>PRAC!M35</f>
        <v/>
      </c>
      <c r="D36" s="52" t="str">
        <f>IF(ISERROR(VLOOKUP($C36,'STARTOVNÍ LISTINA'!$A$8:$E$37,3,0))=TRUE,"",VLOOKUP($C36,'STARTOVNÍ LISTINA'!$A$8:$E$37,3,0))</f>
        <v/>
      </c>
      <c r="E36" s="51" t="str">
        <f>IF(ISERROR(VLOOKUP($C36,'STARTOVNÍ LISTINA'!$A$8:$E$37,4,0))=TRUE,"",VLOOKUP($C36,'STARTOVNÍ LISTINA'!$A$8:$E$37,4,0))</f>
        <v/>
      </c>
      <c r="F36" s="57" t="str">
        <f>IF(ISERROR(VLOOKUP($C36,'STARTOVNÍ LISTINA'!$A$8:$E$37,5,0))=TRUE,"",IF(VLOOKUP($C36,'STARTOVNÍ LISTINA'!$A$8:$E$37,5,0)=0,"",VLOOKUP($C36,'STARTOVNÍ LISTINA'!$A$8:$E$37,5,0)))</f>
        <v/>
      </c>
      <c r="G36" s="39"/>
    </row>
    <row r="37" spans="1:7" s="40" customFormat="1" ht="20.100000000000001" customHeight="1">
      <c r="A37" s="48">
        <v>29</v>
      </c>
      <c r="B37" s="141" t="str">
        <f>IF(ISERROR(VLOOKUP($C37,'STARTOVNÍ LISTINA'!$A$8:$E$37,2,0))=TRUE,"",VLOOKUP($C37,'STARTOVNÍ LISTINA'!$A$8:$E$37,2,0))</f>
        <v/>
      </c>
      <c r="C37" s="144" t="str">
        <f>PRAC!M36</f>
        <v/>
      </c>
      <c r="D37" s="52" t="str">
        <f>IF(ISERROR(VLOOKUP($C37,'STARTOVNÍ LISTINA'!$A$8:$E$37,3,0))=TRUE,"",VLOOKUP($C37,'STARTOVNÍ LISTINA'!$A$8:$E$37,3,0))</f>
        <v/>
      </c>
      <c r="E37" s="51" t="str">
        <f>IF(ISERROR(VLOOKUP($C37,'STARTOVNÍ LISTINA'!$A$8:$E$37,4,0))=TRUE,"",VLOOKUP($C37,'STARTOVNÍ LISTINA'!$A$8:$E$37,4,0))</f>
        <v/>
      </c>
      <c r="F37" s="57" t="str">
        <f>IF(ISERROR(VLOOKUP($C37,'STARTOVNÍ LISTINA'!$A$8:$E$37,5,0))=TRUE,"",IF(VLOOKUP($C37,'STARTOVNÍ LISTINA'!$A$8:$E$37,5,0)=0,"",VLOOKUP($C37,'STARTOVNÍ LISTINA'!$A$8:$E$37,5,0)))</f>
        <v/>
      </c>
      <c r="G37" s="39"/>
    </row>
    <row r="38" spans="1:7" s="40" customFormat="1" ht="20.100000000000001" customHeight="1" thickBot="1">
      <c r="A38" s="49">
        <v>30</v>
      </c>
      <c r="B38" s="142" t="str">
        <f>IF(ISERROR(VLOOKUP($C38,'STARTOVNÍ LISTINA'!$A$8:$E$37,2,0))=TRUE,"",VLOOKUP($C38,'STARTOVNÍ LISTINA'!$A$8:$E$37,2,0))</f>
        <v/>
      </c>
      <c r="C38" s="145" t="str">
        <f>PRAC!M37</f>
        <v/>
      </c>
      <c r="D38" s="53" t="str">
        <f>IF(ISERROR(VLOOKUP($C38,'STARTOVNÍ LISTINA'!$A$8:$E$37,3,0))=TRUE,"",VLOOKUP($C38,'STARTOVNÍ LISTINA'!$A$8:$E$37,3,0))</f>
        <v/>
      </c>
      <c r="E38" s="58" t="str">
        <f>IF(ISERROR(VLOOKUP($C38,'STARTOVNÍ LISTINA'!$A$8:$E$37,4,0))=TRUE,"",VLOOKUP($C38,'STARTOVNÍ LISTINA'!$A$8:$E$37,4,0))</f>
        <v/>
      </c>
      <c r="F38" s="59" t="str">
        <f>IF(ISERROR(VLOOKUP($C38,'STARTOVNÍ LISTINA'!$A$8:$E$37,5,0))=TRUE,"",IF(VLOOKUP($C38,'STARTOVNÍ LISTINA'!$A$8:$E$37,5,0)=0,"",VLOOKUP($C38,'STARTOVNÍ LISTINA'!$A$8:$E$37,5,0)))</f>
        <v/>
      </c>
      <c r="G38" s="39"/>
    </row>
    <row r="39" spans="1:7">
      <c r="F39" s="146" t="s">
        <v>31</v>
      </c>
    </row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</sheetData>
  <sheetProtection selectLockedCells="1"/>
  <phoneticPr fontId="27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50"/>
  <sheetViews>
    <sheetView zoomScale="85" zoomScaleNormal="100" workbookViewId="0">
      <selection activeCell="E17" sqref="E17"/>
    </sheetView>
  </sheetViews>
  <sheetFormatPr defaultColWidth="0" defaultRowHeight="0" customHeight="1" zeroHeight="1"/>
  <cols>
    <col min="1" max="1" width="9.77734375" style="33" customWidth="1"/>
    <col min="2" max="2" width="39.33203125" style="33" bestFit="1" customWidth="1"/>
    <col min="3" max="3" width="19.109375" style="33" bestFit="1" customWidth="1"/>
    <col min="4" max="4" width="27.77734375" style="33" bestFit="1" customWidth="1"/>
    <col min="5" max="5" width="10.88671875" style="33" customWidth="1"/>
    <col min="6" max="6" width="5.44140625" style="33" customWidth="1"/>
    <col min="7" max="7" width="10.109375" style="33" customWidth="1"/>
    <col min="8" max="8" width="1.77734375" style="33" customWidth="1"/>
    <col min="9" max="16384" width="8.88671875" style="34" hidden="1"/>
  </cols>
  <sheetData>
    <row r="1" spans="1:31" ht="30">
      <c r="A1" s="30" t="s">
        <v>23</v>
      </c>
      <c r="B1" s="31"/>
      <c r="C1" s="31"/>
      <c r="D1" s="31"/>
      <c r="E1" s="31"/>
      <c r="F1" s="31"/>
      <c r="G1" s="32"/>
    </row>
    <row r="2" spans="1:31" s="38" customFormat="1" ht="18">
      <c r="A2" s="35" t="s">
        <v>62</v>
      </c>
      <c r="B2" s="35"/>
      <c r="C2" s="35"/>
      <c r="D2" s="35"/>
      <c r="E2" s="35"/>
      <c r="F2" s="35"/>
      <c r="G2" s="36"/>
      <c r="H2" s="37"/>
    </row>
    <row r="3" spans="1:31" s="40" customFormat="1" ht="15">
      <c r="A3" s="39"/>
      <c r="B3" s="39"/>
      <c r="C3" s="39"/>
      <c r="D3" s="39"/>
      <c r="E3" s="39"/>
      <c r="F3" s="39"/>
      <c r="G3" s="39"/>
      <c r="H3" s="39"/>
    </row>
    <row r="4" spans="1:31" s="40" customFormat="1" ht="15">
      <c r="A4" s="41" t="s">
        <v>146</v>
      </c>
      <c r="B4" s="39"/>
      <c r="C4" s="39"/>
      <c r="D4" s="39"/>
      <c r="E4" s="39"/>
      <c r="F4" s="39"/>
      <c r="G4" s="42" t="s">
        <v>145</v>
      </c>
      <c r="H4" s="39"/>
    </row>
    <row r="5" spans="1:31" s="40" customFormat="1" ht="15.75" thickBot="1">
      <c r="A5" s="39"/>
      <c r="B5" s="39"/>
      <c r="C5" s="39"/>
      <c r="D5" s="39"/>
      <c r="E5" s="39"/>
      <c r="F5" s="39"/>
      <c r="G5" s="39"/>
      <c r="H5" s="39"/>
    </row>
    <row r="6" spans="1:31" s="40" customFormat="1" ht="35.1" customHeight="1" thickBot="1">
      <c r="A6" s="43" t="s">
        <v>0</v>
      </c>
      <c r="B6" s="44" t="s">
        <v>1</v>
      </c>
      <c r="C6" s="44" t="s">
        <v>2</v>
      </c>
      <c r="D6" s="45" t="s">
        <v>3</v>
      </c>
      <c r="E6" s="45" t="s">
        <v>5</v>
      </c>
      <c r="F6" s="45" t="s">
        <v>22</v>
      </c>
      <c r="G6" s="230" t="s">
        <v>131</v>
      </c>
      <c r="H6" s="39"/>
    </row>
    <row r="7" spans="1:31" s="40" customFormat="1" ht="20.100000000000001" customHeight="1">
      <c r="A7" s="47">
        <v>1</v>
      </c>
      <c r="B7" s="28" t="str">
        <f>IF($G7="","",VLOOKUP($G7,'STARTOVNÍ LISTINA'!$A$8:$E$37,2,0))</f>
        <v>ZGOLA Marián, ppráp.</v>
      </c>
      <c r="C7" s="52" t="str">
        <f>IF($G7="","",VLOOKUP($G7,'STARTOVNÍ LISTINA'!$A$8:$E$37,3,0))</f>
        <v>LAPAZ 21</v>
      </c>
      <c r="D7" s="51" t="str">
        <f>IF($G7="","",VLOOKUP($G7,'STARTOVNÍ LISTINA'!$A$8:$E$37,4,0))</f>
        <v>SLOVENSKO, Košice</v>
      </c>
      <c r="E7" s="70">
        <v>3.8414351851851847E-4</v>
      </c>
      <c r="F7" s="77">
        <v>0</v>
      </c>
      <c r="G7" s="73">
        <v>4</v>
      </c>
      <c r="H7" s="39"/>
      <c r="I7" s="40">
        <f>SUM(PRAC!M10,PRAC!V10)</f>
        <v>14</v>
      </c>
      <c r="J7" s="4" t="e">
        <f>IF(L7="",100,SUM(PRAC!#REF!,PRAC!#REF!))</f>
        <v>#REF!</v>
      </c>
      <c r="K7" s="4" t="e">
        <f t="shared" ref="K7:K21" si="0">SMALL($J$7:$J$21,O7)</f>
        <v>#REF!</v>
      </c>
      <c r="L7" s="40" t="str">
        <f>IF('STARTOVNÍ LISTINA (1)'!B11="","",'STARTOVNÍ LISTINA (1)'!B11)</f>
        <v>SZIVACKI Joszef Tibor</v>
      </c>
      <c r="M7" s="40" t="str">
        <f>IF('STARTOVNÍ LISTINA (1)'!D11="","",'STARTOVNÍ LISTINA (1)'!D11)</f>
        <v>VELÚR</v>
      </c>
      <c r="N7" s="40" t="str">
        <f>IF('STARTOVNÍ LISTINA (1)'!E11="","",'STARTOVNÍ LISTINA (1)'!E11)</f>
        <v>MAĎARSKO</v>
      </c>
      <c r="O7" s="40">
        <f>IF('STARTOVNÍ LISTINA (1)'!A11="","",'STARTOVNÍ LISTINA (1)'!A11)</f>
        <v>3</v>
      </c>
      <c r="R7" s="61" t="e">
        <f t="shared" ref="R7:R21" si="1">VLOOKUP(K7,$J$7:$O$21,6,0)</f>
        <v>#REF!</v>
      </c>
      <c r="S7" s="40" t="e">
        <f t="shared" ref="S7:S21" si="2">VLOOKUP(K7,$J$7:$O$21,3,0)</f>
        <v>#REF!</v>
      </c>
      <c r="T7" s="40" t="e">
        <f t="shared" ref="T7:T21" si="3">VLOOKUP(K7,$J$7:$O$21,4,0)</f>
        <v>#REF!</v>
      </c>
      <c r="U7" s="40" t="e">
        <f t="shared" ref="U7:U21" si="4">VLOOKUP(K7,$J$7:$O$21,5,0)</f>
        <v>#REF!</v>
      </c>
      <c r="Z7" s="40" t="e">
        <f t="shared" ref="Z7:Z20" si="5">IF(S7="","",O7)</f>
        <v>#REF!</v>
      </c>
      <c r="AA7" s="40" t="e">
        <f t="shared" ref="AA7:AA21" si="6">IF(Z7="","",LARGE($Z$7:$Z$21,Z7))</f>
        <v>#REF!</v>
      </c>
      <c r="AB7" s="40" t="e">
        <f t="shared" ref="AB7:AB21" si="7">IF(Z7="","",VLOOKUP(AA7,$O$7:$U$21,4,0))</f>
        <v>#REF!</v>
      </c>
      <c r="AC7" s="40" t="e">
        <f t="shared" ref="AC7:AC21" si="8">IF(Z7="","",VLOOKUP(AA7,$O$7:$U$21,5,0))</f>
        <v>#REF!</v>
      </c>
      <c r="AD7" s="40" t="e">
        <f t="shared" ref="AD7:AD21" si="9">IF(Z7="","",VLOOKUP(AA7,$O$7:$U$21,6,0))</f>
        <v>#REF!</v>
      </c>
      <c r="AE7" s="40" t="e">
        <f t="shared" ref="AE7:AE21" si="10">IF(Z7="","",VLOOKUP(AA7,$O$7:$U$21,7,0))</f>
        <v>#REF!</v>
      </c>
    </row>
    <row r="8" spans="1:31" s="40" customFormat="1" ht="20.100000000000001" customHeight="1">
      <c r="A8" s="48">
        <v>2</v>
      </c>
      <c r="B8" s="28" t="str">
        <f>IF($G8="","",VLOOKUP($G8,'STARTOVNÍ LISTINA'!$A$8:$E$37,2,0))</f>
        <v>NOVÁK Tomáš, str.</v>
      </c>
      <c r="C8" s="52" t="str">
        <f>IF($G8="","",VLOOKUP($G8,'STARTOVNÍ LISTINA'!$A$8:$E$37,3,0))</f>
        <v>SOLO PANDORA</v>
      </c>
      <c r="D8" s="51" t="str">
        <f>IF($G8="","",VLOOKUP($G8,'STARTOVNÍ LISTINA'!$A$8:$E$37,4,0))</f>
        <v>MP Ostrava</v>
      </c>
      <c r="E8" s="71">
        <v>3.8773148148148152E-4</v>
      </c>
      <c r="F8" s="78">
        <v>0</v>
      </c>
      <c r="G8" s="75">
        <v>7</v>
      </c>
      <c r="H8" s="39"/>
      <c r="I8" s="40">
        <f ca="1">SUM(PRAC!M17,PRAC!V17)</f>
        <v>25</v>
      </c>
      <c r="J8" s="4" t="e">
        <f>IF(L8="",100,SUM(PRAC!#REF!,PRAC!#REF!))</f>
        <v>#REF!</v>
      </c>
      <c r="K8" s="4" t="e">
        <f t="shared" si="0"/>
        <v>#REF!</v>
      </c>
      <c r="L8" s="40" t="str">
        <f>IF('STARTOVNÍ LISTINA (1)'!B18="","",'STARTOVNÍ LISTINA (1)'!B18)</f>
        <v>BUROV Roman</v>
      </c>
      <c r="M8" s="40" t="str">
        <f>IF('STARTOVNÍ LISTINA (1)'!D18="","",'STARTOVNÍ LISTINA (1)'!D18)</f>
        <v>BOSS (KŘP JMK)</v>
      </c>
      <c r="N8" s="40" t="str">
        <f>IF('STARTOVNÍ LISTINA (1)'!E18="","",'STARTOVNÍ LISTINA (1)'!E18)</f>
        <v>RUSKO, Moskva</v>
      </c>
      <c r="O8" s="40">
        <f>IF('STARTOVNÍ LISTINA (1)'!A18="","",'STARTOVNÍ LISTINA (1)'!A18)</f>
        <v>10</v>
      </c>
      <c r="R8" s="61" t="e">
        <f t="shared" si="1"/>
        <v>#REF!</v>
      </c>
      <c r="S8" s="40" t="e">
        <f t="shared" si="2"/>
        <v>#REF!</v>
      </c>
      <c r="T8" s="40" t="e">
        <f t="shared" si="3"/>
        <v>#REF!</v>
      </c>
      <c r="U8" s="40" t="e">
        <f t="shared" si="4"/>
        <v>#REF!</v>
      </c>
      <c r="Z8" s="40" t="e">
        <f t="shared" si="5"/>
        <v>#REF!</v>
      </c>
      <c r="AA8" s="40" t="e">
        <f t="shared" si="6"/>
        <v>#REF!</v>
      </c>
      <c r="AB8" s="40" t="e">
        <f t="shared" si="7"/>
        <v>#REF!</v>
      </c>
      <c r="AC8" s="40" t="e">
        <f t="shared" si="8"/>
        <v>#REF!</v>
      </c>
      <c r="AD8" s="40" t="e">
        <f t="shared" si="9"/>
        <v>#REF!</v>
      </c>
      <c r="AE8" s="40" t="e">
        <f t="shared" si="10"/>
        <v>#REF!</v>
      </c>
    </row>
    <row r="9" spans="1:31" s="40" customFormat="1" ht="20.100000000000001" customHeight="1">
      <c r="A9" s="48">
        <v>3</v>
      </c>
      <c r="B9" s="28" t="str">
        <f>IF($G9="","",VLOOKUP($G9,'STARTOVNÍ LISTINA'!$A$8:$E$37,2,0))</f>
        <v>KUROPATNICKÁ Zuzana, nstržm.</v>
      </c>
      <c r="C9" s="52" t="str">
        <f>IF($G9="","",VLOOKUP($G9,'STARTOVNÍ LISTINA'!$A$8:$E$37,3,0))</f>
        <v>CASSIUS</v>
      </c>
      <c r="D9" s="51" t="str">
        <f>IF($G9="","",VLOOKUP($G9,'STARTOVNÍ LISTINA'!$A$8:$E$37,4,0))</f>
        <v>KŘP hlavního města Prahy</v>
      </c>
      <c r="E9" s="71">
        <v>5.1655092592592594E-4</v>
      </c>
      <c r="F9" s="78">
        <v>0</v>
      </c>
      <c r="G9" s="74">
        <v>9</v>
      </c>
      <c r="H9" s="39"/>
      <c r="I9" s="40">
        <f ca="1">SUM(PRAC!M11,PRAC!V11)</f>
        <v>30</v>
      </c>
      <c r="J9" s="4" t="e">
        <f>IF(L9="",100,SUM(PRAC!#REF!,PRAC!#REF!))</f>
        <v>#REF!</v>
      </c>
      <c r="K9" s="4" t="e">
        <f t="shared" si="0"/>
        <v>#REF!</v>
      </c>
      <c r="L9" s="40" t="str">
        <f>IF('STARTOVNÍ LISTINA (1)'!B12="","",'STARTOVNÍ LISTINA (1)'!B12)</f>
        <v>ZGOLA Marián, ppráp.</v>
      </c>
      <c r="M9" s="40" t="str">
        <f>IF('STARTOVNÍ LISTINA (1)'!D12="","",'STARTOVNÍ LISTINA (1)'!D12)</f>
        <v>LAPAZ 21</v>
      </c>
      <c r="N9" s="40" t="str">
        <f>IF('STARTOVNÍ LISTINA (1)'!E12="","",'STARTOVNÍ LISTINA (1)'!E12)</f>
        <v>SLOVENSKO, Košice</v>
      </c>
      <c r="O9" s="40">
        <f>IF('STARTOVNÍ LISTINA (1)'!A12="","",'STARTOVNÍ LISTINA (1)'!A12)</f>
        <v>4</v>
      </c>
      <c r="R9" s="61" t="e">
        <f t="shared" si="1"/>
        <v>#REF!</v>
      </c>
      <c r="S9" s="40" t="e">
        <f t="shared" si="2"/>
        <v>#REF!</v>
      </c>
      <c r="T9" s="40" t="e">
        <f t="shared" si="3"/>
        <v>#REF!</v>
      </c>
      <c r="U9" s="40" t="e">
        <f t="shared" si="4"/>
        <v>#REF!</v>
      </c>
      <c r="Z9" s="40" t="e">
        <f t="shared" si="5"/>
        <v>#REF!</v>
      </c>
      <c r="AA9" s="40" t="e">
        <f t="shared" si="6"/>
        <v>#REF!</v>
      </c>
      <c r="AB9" s="40" t="e">
        <f t="shared" si="7"/>
        <v>#REF!</v>
      </c>
      <c r="AC9" s="40" t="e">
        <f t="shared" si="8"/>
        <v>#REF!</v>
      </c>
      <c r="AD9" s="40" t="e">
        <f t="shared" si="9"/>
        <v>#REF!</v>
      </c>
      <c r="AE9" s="40" t="e">
        <f t="shared" si="10"/>
        <v>#REF!</v>
      </c>
    </row>
    <row r="10" spans="1:31" s="40" customFormat="1" ht="20.100000000000001" customHeight="1">
      <c r="A10" s="48">
        <v>4</v>
      </c>
      <c r="B10" s="28" t="str">
        <f>IF($G10="","",VLOOKUP($G10,'STARTOVNÍ LISTINA'!$A$8:$E$37,2,0))</f>
        <v>TRNKOVÁ Simona, str.</v>
      </c>
      <c r="C10" s="52" t="str">
        <f>IF($G10="","",VLOOKUP($G10,'STARTOVNÍ LISTINA'!$A$8:$E$37,3,0))</f>
        <v>SOLO XALA</v>
      </c>
      <c r="D10" s="51" t="str">
        <f>IF($G10="","",VLOOKUP($G10,'STARTOVNÍ LISTINA'!$A$8:$E$37,4,0))</f>
        <v>MP Praha</v>
      </c>
      <c r="E10" s="71">
        <v>5.4907407407407411E-4</v>
      </c>
      <c r="F10" s="78">
        <v>0</v>
      </c>
      <c r="G10" s="74">
        <v>12</v>
      </c>
      <c r="H10" s="39"/>
      <c r="I10" s="40">
        <f>SUM(PRAC!M16,PRAC!V16)</f>
        <v>19</v>
      </c>
      <c r="J10" s="4" t="e">
        <f>IF(L10="",100,SUM(PRAC!#REF!,PRAC!#REF!))</f>
        <v>#REF!</v>
      </c>
      <c r="K10" s="4" t="e">
        <f t="shared" si="0"/>
        <v>#REF!</v>
      </c>
      <c r="L10" s="40" t="str">
        <f>IF('STARTOVNÍ LISTINA (1)'!B17="","",'STARTOVNÍ LISTINA (1)'!B17)</f>
        <v>KUROPATNICKÁ Zuzana, nstržm.</v>
      </c>
      <c r="M10" s="40" t="str">
        <f>IF('STARTOVNÍ LISTINA (1)'!D17="","",'STARTOVNÍ LISTINA (1)'!D17)</f>
        <v>CASSIUS</v>
      </c>
      <c r="N10" s="40" t="str">
        <f>IF('STARTOVNÍ LISTINA (1)'!E17="","",'STARTOVNÍ LISTINA (1)'!E17)</f>
        <v>KŘP hlavního města Prahy</v>
      </c>
      <c r="O10" s="40">
        <f>IF('STARTOVNÍ LISTINA (1)'!A17="","",'STARTOVNÍ LISTINA (1)'!A17)</f>
        <v>9</v>
      </c>
      <c r="R10" s="61" t="e">
        <f t="shared" si="1"/>
        <v>#REF!</v>
      </c>
      <c r="S10" s="40" t="e">
        <f t="shared" si="2"/>
        <v>#REF!</v>
      </c>
      <c r="T10" s="40" t="e">
        <f t="shared" si="3"/>
        <v>#REF!</v>
      </c>
      <c r="U10" s="40" t="e">
        <f t="shared" si="4"/>
        <v>#REF!</v>
      </c>
      <c r="Z10" s="40" t="e">
        <f t="shared" si="5"/>
        <v>#REF!</v>
      </c>
      <c r="AA10" s="40" t="e">
        <f t="shared" si="6"/>
        <v>#REF!</v>
      </c>
      <c r="AB10" s="40" t="e">
        <f t="shared" si="7"/>
        <v>#REF!</v>
      </c>
      <c r="AC10" s="40" t="e">
        <f t="shared" si="8"/>
        <v>#REF!</v>
      </c>
      <c r="AD10" s="40" t="e">
        <f t="shared" si="9"/>
        <v>#REF!</v>
      </c>
      <c r="AE10" s="40" t="e">
        <f t="shared" si="10"/>
        <v>#REF!</v>
      </c>
    </row>
    <row r="11" spans="1:31" s="40" customFormat="1" ht="20.100000000000001" customHeight="1">
      <c r="A11" s="48">
        <v>5</v>
      </c>
      <c r="B11" s="28" t="str">
        <f>IF($G11="","",VLOOKUP($G11,'STARTOVNÍ LISTINA'!$A$8:$E$37,2,0))</f>
        <v>PILKO Stephan</v>
      </c>
      <c r="C11" s="52" t="str">
        <f>IF($G11="","",VLOOKUP($G11,'STARTOVNÍ LISTINA'!$A$8:$E$37,3,0))</f>
        <v>QUICK STEP</v>
      </c>
      <c r="D11" s="51" t="str">
        <f>IF($G11="","",VLOOKUP($G11,'STARTOVNÍ LISTINA'!$A$8:$E$37,4,0))</f>
        <v>NĚMECKO, Sasko</v>
      </c>
      <c r="E11" s="71">
        <v>4.1782407407407409E-4</v>
      </c>
      <c r="F11" s="78">
        <v>0</v>
      </c>
      <c r="G11" s="74">
        <v>16</v>
      </c>
      <c r="H11" s="39"/>
      <c r="I11" s="40">
        <f ca="1">SUM(PRAC!M14,PRAC!V14)</f>
        <v>22</v>
      </c>
      <c r="J11" s="4" t="e">
        <f>IF(L11="",100,SUM(PRAC!#REF!,PRAC!#REF!))</f>
        <v>#REF!</v>
      </c>
      <c r="K11" s="4" t="e">
        <f t="shared" si="0"/>
        <v>#REF!</v>
      </c>
      <c r="L11" s="40" t="str">
        <f>IF('STARTOVNÍ LISTINA (1)'!B15="","",'STARTOVNÍ LISTINA (1)'!B15)</f>
        <v>NOVÁK Tomáš, str.</v>
      </c>
      <c r="M11" s="40" t="str">
        <f>IF('STARTOVNÍ LISTINA (1)'!D15="","",'STARTOVNÍ LISTINA (1)'!D15)</f>
        <v>SOLO PANDORA</v>
      </c>
      <c r="N11" s="40" t="str">
        <f>IF('STARTOVNÍ LISTINA (1)'!E15="","",'STARTOVNÍ LISTINA (1)'!E15)</f>
        <v>MP Ostrava</v>
      </c>
      <c r="O11" s="40">
        <f>IF('STARTOVNÍ LISTINA (1)'!A15="","",'STARTOVNÍ LISTINA (1)'!A15)</f>
        <v>7</v>
      </c>
      <c r="R11" s="61" t="e">
        <f t="shared" si="1"/>
        <v>#REF!</v>
      </c>
      <c r="S11" s="40" t="e">
        <f t="shared" si="2"/>
        <v>#REF!</v>
      </c>
      <c r="T11" s="40" t="e">
        <f t="shared" si="3"/>
        <v>#REF!</v>
      </c>
      <c r="U11" s="40" t="e">
        <f t="shared" si="4"/>
        <v>#REF!</v>
      </c>
      <c r="Z11" s="40" t="e">
        <f t="shared" si="5"/>
        <v>#REF!</v>
      </c>
      <c r="AA11" s="40" t="e">
        <f t="shared" si="6"/>
        <v>#REF!</v>
      </c>
      <c r="AB11" s="40" t="e">
        <f t="shared" si="7"/>
        <v>#REF!</v>
      </c>
      <c r="AC11" s="40" t="e">
        <f t="shared" si="8"/>
        <v>#REF!</v>
      </c>
      <c r="AD11" s="40" t="e">
        <f t="shared" si="9"/>
        <v>#REF!</v>
      </c>
      <c r="AE11" s="40" t="e">
        <f t="shared" si="10"/>
        <v>#REF!</v>
      </c>
    </row>
    <row r="12" spans="1:31" s="40" customFormat="1" ht="20.100000000000001" customHeight="1">
      <c r="A12" s="48">
        <v>6</v>
      </c>
      <c r="B12" s="28" t="str">
        <f>IF($G12="","",VLOOKUP($G12,'STARTOVNÍ LISTINA'!$A$8:$E$37,2,0))</f>
        <v>SVOBODA Lukáš, nstržm.</v>
      </c>
      <c r="C12" s="52" t="str">
        <f>IF($G12="","",VLOOKUP($G12,'STARTOVNÍ LISTINA'!$A$8:$E$37,3,0))</f>
        <v>SANTÉ</v>
      </c>
      <c r="D12" s="51" t="str">
        <f>IF($G12="","",VLOOKUP($G12,'STARTOVNÍ LISTINA'!$A$8:$E$37,4,0))</f>
        <v>KŘP hlavního města Prahy</v>
      </c>
      <c r="E12" s="71">
        <v>3.960648148148148E-4</v>
      </c>
      <c r="F12" s="78">
        <v>0</v>
      </c>
      <c r="G12" s="74">
        <v>17</v>
      </c>
      <c r="H12" s="39"/>
      <c r="I12" s="40">
        <f ca="1">SUM(PRAC!M8,PRAC!V8)</f>
        <v>7</v>
      </c>
      <c r="J12" s="4" t="e">
        <f>IF(L12="",100,SUM(PRAC!#REF!,PRAC!#REF!))</f>
        <v>#REF!</v>
      </c>
      <c r="K12" s="4" t="e">
        <f t="shared" si="0"/>
        <v>#REF!</v>
      </c>
      <c r="L12" s="40" t="str">
        <f>IF('STARTOVNÍ LISTINA (1)'!B9="","",'STARTOVNÍ LISTINA (1)'!B9)</f>
        <v>SLEZÁK Michal, nstržm. Ing.</v>
      </c>
      <c r="M12" s="40" t="str">
        <f>IF('STARTOVNÍ LISTINA (1)'!D9="","",'STARTOVNÍ LISTINA (1)'!D9)</f>
        <v>ENRICO</v>
      </c>
      <c r="N12" s="40" t="str">
        <f>IF('STARTOVNÍ LISTINA (1)'!E9="","",'STARTOVNÍ LISTINA (1)'!E9)</f>
        <v>KŘP Jihomoravského kraje</v>
      </c>
      <c r="O12" s="40">
        <f>IF('STARTOVNÍ LISTINA (1)'!A9="","",'STARTOVNÍ LISTINA (1)'!A9)</f>
        <v>1</v>
      </c>
      <c r="R12" s="61" t="e">
        <f t="shared" si="1"/>
        <v>#REF!</v>
      </c>
      <c r="S12" s="40" t="e">
        <f t="shared" si="2"/>
        <v>#REF!</v>
      </c>
      <c r="T12" s="40" t="e">
        <f t="shared" si="3"/>
        <v>#REF!</v>
      </c>
      <c r="U12" s="40" t="e">
        <f t="shared" si="4"/>
        <v>#REF!</v>
      </c>
      <c r="Z12" s="40" t="e">
        <f t="shared" si="5"/>
        <v>#REF!</v>
      </c>
      <c r="AA12" s="40" t="e">
        <f t="shared" si="6"/>
        <v>#REF!</v>
      </c>
      <c r="AB12" s="40" t="e">
        <f t="shared" si="7"/>
        <v>#REF!</v>
      </c>
      <c r="AC12" s="40" t="e">
        <f t="shared" si="8"/>
        <v>#REF!</v>
      </c>
      <c r="AD12" s="40" t="e">
        <f t="shared" si="9"/>
        <v>#REF!</v>
      </c>
      <c r="AE12" s="40" t="e">
        <f t="shared" si="10"/>
        <v>#REF!</v>
      </c>
    </row>
    <row r="13" spans="1:31" s="40" customFormat="1" ht="20.100000000000001" customHeight="1">
      <c r="A13" s="48">
        <v>7</v>
      </c>
      <c r="B13" s="28" t="str">
        <f>IF($G13="","",VLOOKUP($G13,'STARTOVNÍ LISTINA'!$A$8:$E$37,2,0))</f>
        <v>ZEDNÍČEK Libor, str.</v>
      </c>
      <c r="C13" s="52" t="str">
        <f>IF($G13="","",VLOOKUP($G13,'STARTOVNÍ LISTINA'!$A$8:$E$37,3,0))</f>
        <v>SOLO MACARENA</v>
      </c>
      <c r="D13" s="51" t="str">
        <f>IF($G13="","",VLOOKUP($G13,'STARTOVNÍ LISTINA'!$A$8:$E$37,4,0))</f>
        <v>MP Ostrava</v>
      </c>
      <c r="E13" s="71">
        <v>3.979166666666667E-4</v>
      </c>
      <c r="F13" s="78">
        <v>0</v>
      </c>
      <c r="G13" s="74">
        <v>18</v>
      </c>
      <c r="H13" s="39"/>
      <c r="I13" s="40">
        <f>SUM(PRAC!M12,PRAC!V12)</f>
        <v>20</v>
      </c>
      <c r="J13" s="4" t="e">
        <f>IF(L13="",100,SUM(PRAC!#REF!,PRAC!#REF!))</f>
        <v>#REF!</v>
      </c>
      <c r="K13" s="4" t="e">
        <f t="shared" si="0"/>
        <v>#REF!</v>
      </c>
      <c r="L13" s="40" t="str">
        <f>IF('STARTOVNÍ LISTINA (1)'!B13="","",'STARTOVNÍ LISTINA (1)'!B13)</f>
        <v>GASPÁR György</v>
      </c>
      <c r="M13" s="40" t="str">
        <f>IF('STARTOVNÍ LISTINA (1)'!D13="","",'STARTOVNÍ LISTINA (1)'!D13)</f>
        <v>RUBIN</v>
      </c>
      <c r="N13" s="40" t="str">
        <f>IF('STARTOVNÍ LISTINA (1)'!E13="","",'STARTOVNÍ LISTINA (1)'!E13)</f>
        <v>MAĎARSKO</v>
      </c>
      <c r="O13" s="40">
        <f>IF('STARTOVNÍ LISTINA (1)'!A13="","",'STARTOVNÍ LISTINA (1)'!A13)</f>
        <v>5</v>
      </c>
      <c r="R13" s="61" t="e">
        <f t="shared" si="1"/>
        <v>#REF!</v>
      </c>
      <c r="S13" s="40" t="e">
        <f t="shared" si="2"/>
        <v>#REF!</v>
      </c>
      <c r="T13" s="40" t="e">
        <f t="shared" si="3"/>
        <v>#REF!</v>
      </c>
      <c r="U13" s="40" t="e">
        <f t="shared" si="4"/>
        <v>#REF!</v>
      </c>
      <c r="Z13" s="40" t="e">
        <f t="shared" si="5"/>
        <v>#REF!</v>
      </c>
      <c r="AA13" s="40" t="e">
        <f t="shared" si="6"/>
        <v>#REF!</v>
      </c>
      <c r="AB13" s="40" t="e">
        <f t="shared" si="7"/>
        <v>#REF!</v>
      </c>
      <c r="AC13" s="40" t="e">
        <f t="shared" si="8"/>
        <v>#REF!</v>
      </c>
      <c r="AD13" s="40" t="e">
        <f t="shared" si="9"/>
        <v>#REF!</v>
      </c>
      <c r="AE13" s="40" t="e">
        <f t="shared" si="10"/>
        <v>#REF!</v>
      </c>
    </row>
    <row r="14" spans="1:31" s="40" customFormat="1" ht="20.100000000000001" customHeight="1">
      <c r="A14" s="48">
        <v>8</v>
      </c>
      <c r="B14" s="28" t="str">
        <f>IF($G14="","",VLOOKUP($G14,'STARTOVNÍ LISTINA'!$A$8:$E$37,2,0))</f>
        <v>HORNÍK Martin, str. Ing.</v>
      </c>
      <c r="C14" s="52" t="str">
        <f>IF($G14="","",VLOOKUP($G14,'STARTOVNÍ LISTINA'!$A$8:$E$37,3,0))</f>
        <v>SACRAMOSO XANTA ALBA</v>
      </c>
      <c r="D14" s="51" t="str">
        <f>IF($G14="","",VLOOKUP($G14,'STARTOVNÍ LISTINA'!$A$8:$E$37,4,0))</f>
        <v>MP Praha</v>
      </c>
      <c r="E14" s="71">
        <v>3.8634259259259259E-4</v>
      </c>
      <c r="F14" s="78">
        <v>0</v>
      </c>
      <c r="G14" s="74">
        <v>20</v>
      </c>
      <c r="H14" s="39"/>
      <c r="I14" s="40">
        <f ca="1">SUM(PRAC!M9,PRAC!V9)</f>
        <v>2</v>
      </c>
      <c r="J14" s="4" t="e">
        <f>IF(L14="",100,SUM(PRAC!#REF!,PRAC!#REF!))</f>
        <v>#REF!</v>
      </c>
      <c r="K14" s="4" t="e">
        <f t="shared" si="0"/>
        <v>#REF!</v>
      </c>
      <c r="L14" s="40" t="str">
        <f>IF('STARTOVNÍ LISTINA (1)'!B10="","",'STARTOVNÍ LISTINA (1)'!B10)</f>
        <v>ŠEJSTAL Radek, prap.</v>
      </c>
      <c r="M14" s="40" t="str">
        <f>IF('STARTOVNÍ LISTINA (1)'!D10="","",'STARTOVNÍ LISTINA (1)'!D10)</f>
        <v>LISTR</v>
      </c>
      <c r="N14" s="40" t="str">
        <f>IF('STARTOVNÍ LISTINA (1)'!E10="","",'STARTOVNÍ LISTINA (1)'!E10)</f>
        <v>KŘP Jihomoravského kraje</v>
      </c>
      <c r="O14" s="40">
        <f>IF('STARTOVNÍ LISTINA (1)'!A10="","",'STARTOVNÍ LISTINA (1)'!A10)</f>
        <v>2</v>
      </c>
      <c r="R14" s="61" t="e">
        <f t="shared" si="1"/>
        <v>#REF!</v>
      </c>
      <c r="S14" s="40" t="e">
        <f t="shared" si="2"/>
        <v>#REF!</v>
      </c>
      <c r="T14" s="40" t="e">
        <f t="shared" si="3"/>
        <v>#REF!</v>
      </c>
      <c r="U14" s="40" t="e">
        <f t="shared" si="4"/>
        <v>#REF!</v>
      </c>
      <c r="Z14" s="40" t="e">
        <f t="shared" si="5"/>
        <v>#REF!</v>
      </c>
      <c r="AA14" s="40" t="e">
        <f t="shared" si="6"/>
        <v>#REF!</v>
      </c>
      <c r="AB14" s="40" t="e">
        <f t="shared" si="7"/>
        <v>#REF!</v>
      </c>
      <c r="AC14" s="40" t="e">
        <f t="shared" si="8"/>
        <v>#REF!</v>
      </c>
      <c r="AD14" s="40" t="e">
        <f t="shared" si="9"/>
        <v>#REF!</v>
      </c>
      <c r="AE14" s="40" t="e">
        <f t="shared" si="10"/>
        <v>#REF!</v>
      </c>
    </row>
    <row r="15" spans="1:31" s="40" customFormat="1" ht="20.100000000000001" customHeight="1">
      <c r="A15" s="48">
        <v>9</v>
      </c>
      <c r="B15" s="28" t="str">
        <f>IF($G15="","",VLOOKUP($G15,'STARTOVNÍ LISTINA'!$A$8:$E$37,2,0))</f>
        <v>JOHN Přemysl, nstržm.</v>
      </c>
      <c r="C15" s="52" t="str">
        <f>IF($G15="","",VLOOKUP($G15,'STARTOVNÍ LISTINA'!$A$8:$E$37,3,0))</f>
        <v>DERWISZ</v>
      </c>
      <c r="D15" s="51" t="str">
        <f>IF($G15="","",VLOOKUP($G15,'STARTOVNÍ LISTINA'!$A$8:$E$37,4,0))</f>
        <v>KŘP Jihomoravského kraje</v>
      </c>
      <c r="E15" s="71">
        <v>4.3333333333333331E-4</v>
      </c>
      <c r="F15" s="78">
        <v>5</v>
      </c>
      <c r="G15" s="74">
        <v>21</v>
      </c>
      <c r="H15" s="39"/>
      <c r="I15" s="40">
        <f ca="1">SUM(PRAC!M18,PRAC!V18)</f>
        <v>16</v>
      </c>
      <c r="J15" s="4" t="e">
        <f>IF(L15="",100,SUM(PRAC!#REF!,PRAC!#REF!))</f>
        <v>#REF!</v>
      </c>
      <c r="K15" s="4" t="e">
        <f t="shared" si="0"/>
        <v>#REF!</v>
      </c>
      <c r="L15" s="40" t="str">
        <f>IF('STARTOVNÍ LISTINA (1)'!B19="","",'STARTOVNÍ LISTINA (1)'!B19)</f>
        <v>VYSLOUŽILOVÁ Martina, pprap.</v>
      </c>
      <c r="M15" s="40" t="str">
        <f>IF('STARTOVNÍ LISTINA (1)'!D19="","",'STARTOVNÍ LISTINA (1)'!D19)</f>
        <v>PRESTIGE</v>
      </c>
      <c r="N15" s="40" t="str">
        <f>IF('STARTOVNÍ LISTINA (1)'!E19="","",'STARTOVNÍ LISTINA (1)'!E19)</f>
        <v>KŘP Jihomoravského kraje</v>
      </c>
      <c r="O15" s="40">
        <f>IF('STARTOVNÍ LISTINA (1)'!A19="","",'STARTOVNÍ LISTINA (1)'!A19)</f>
        <v>11</v>
      </c>
      <c r="R15" s="61" t="e">
        <f t="shared" si="1"/>
        <v>#REF!</v>
      </c>
      <c r="S15" s="40" t="e">
        <f t="shared" si="2"/>
        <v>#REF!</v>
      </c>
      <c r="T15" s="40" t="e">
        <f t="shared" si="3"/>
        <v>#REF!</v>
      </c>
      <c r="U15" s="40" t="e">
        <f t="shared" si="4"/>
        <v>#REF!</v>
      </c>
      <c r="Z15" s="40" t="e">
        <f t="shared" si="5"/>
        <v>#REF!</v>
      </c>
      <c r="AA15" s="40" t="e">
        <f t="shared" si="6"/>
        <v>#REF!</v>
      </c>
      <c r="AB15" s="40" t="e">
        <f t="shared" si="7"/>
        <v>#REF!</v>
      </c>
      <c r="AC15" s="40" t="e">
        <f t="shared" si="8"/>
        <v>#REF!</v>
      </c>
      <c r="AD15" s="40" t="e">
        <f t="shared" si="9"/>
        <v>#REF!</v>
      </c>
      <c r="AE15" s="40" t="e">
        <f t="shared" si="10"/>
        <v>#REF!</v>
      </c>
    </row>
    <row r="16" spans="1:31" s="40" customFormat="1" ht="20.100000000000001" customHeight="1">
      <c r="A16" s="48">
        <v>10</v>
      </c>
      <c r="B16" s="28" t="s">
        <v>175</v>
      </c>
      <c r="C16" s="52" t="str">
        <f>IF($G16="","",VLOOKUP($G16,'STARTOVNÍ LISTINA'!$A$8:$E$37,3,0))</f>
        <v>KRISTAL</v>
      </c>
      <c r="D16" s="51" t="str">
        <f>IF($G16="","",VLOOKUP($G16,'STARTOVNÍ LISTINA'!$A$8:$E$37,4,0))</f>
        <v>NĚMECKO, Sasko</v>
      </c>
      <c r="E16" s="71">
        <v>5.0277777777777777E-4</v>
      </c>
      <c r="F16" s="78">
        <v>0</v>
      </c>
      <c r="G16" s="74">
        <v>13</v>
      </c>
      <c r="H16" s="39"/>
      <c r="I16" s="40">
        <f>SUM(PRAC!M19,PRAC!V19)</f>
        <v>18</v>
      </c>
      <c r="J16" s="4" t="e">
        <f>IF(L16="",100,SUM(PRAC!#REF!,PRAC!#REF!))</f>
        <v>#REF!</v>
      </c>
      <c r="K16" s="4" t="e">
        <f t="shared" si="0"/>
        <v>#REF!</v>
      </c>
      <c r="L16" s="40" t="str">
        <f>IF('STARTOVNÍ LISTINA (1)'!B20="","",'STARTOVNÍ LISTINA (1)'!B20)</f>
        <v>TRNKOVÁ Simona, str.</v>
      </c>
      <c r="M16" s="40" t="str">
        <f>IF('STARTOVNÍ LISTINA (1)'!D20="","",'STARTOVNÍ LISTINA (1)'!D20)</f>
        <v>SOLO XALA</v>
      </c>
      <c r="N16" s="40" t="str">
        <f>IF('STARTOVNÍ LISTINA (1)'!E20="","",'STARTOVNÍ LISTINA (1)'!E20)</f>
        <v>MP Praha</v>
      </c>
      <c r="O16" s="40">
        <f>IF('STARTOVNÍ LISTINA (1)'!A20="","",'STARTOVNÍ LISTINA (1)'!A20)</f>
        <v>12</v>
      </c>
      <c r="R16" s="61" t="e">
        <f t="shared" si="1"/>
        <v>#REF!</v>
      </c>
      <c r="S16" s="40" t="e">
        <f t="shared" si="2"/>
        <v>#REF!</v>
      </c>
      <c r="T16" s="40" t="e">
        <f t="shared" si="3"/>
        <v>#REF!</v>
      </c>
      <c r="U16" s="40" t="e">
        <f t="shared" si="4"/>
        <v>#REF!</v>
      </c>
      <c r="Z16" s="40" t="e">
        <f t="shared" si="5"/>
        <v>#REF!</v>
      </c>
      <c r="AA16" s="40" t="e">
        <f t="shared" si="6"/>
        <v>#REF!</v>
      </c>
      <c r="AB16" s="40" t="e">
        <f t="shared" si="7"/>
        <v>#REF!</v>
      </c>
      <c r="AC16" s="40" t="e">
        <f t="shared" si="8"/>
        <v>#REF!</v>
      </c>
      <c r="AD16" s="40" t="e">
        <f t="shared" si="9"/>
        <v>#REF!</v>
      </c>
      <c r="AE16" s="40" t="e">
        <f t="shared" si="10"/>
        <v>#REF!</v>
      </c>
    </row>
    <row r="17" spans="1:31" s="40" customFormat="1" ht="20.100000000000001" customHeight="1">
      <c r="A17" s="48">
        <v>11</v>
      </c>
      <c r="B17" s="28" t="str">
        <f>IF($G17="","",VLOOKUP($G17,'STARTOVNÍ LISTINA'!$A$8:$E$37,2,0))</f>
        <v>PETROVIČ Zbyněk, str.</v>
      </c>
      <c r="C17" s="52" t="str">
        <f>IF($G17="","",VLOOKUP($G17,'STARTOVNÍ LISTINA'!$A$8:$E$37,3,0))</f>
        <v>ROMKE FAVIDA</v>
      </c>
      <c r="D17" s="51" t="str">
        <f>IF($G17="","",VLOOKUP($G17,'STARTOVNÍ LISTINA'!$A$8:$E$37,4,0))</f>
        <v>MP Praha</v>
      </c>
      <c r="E17" s="71">
        <v>6.2245370370370373E-4</v>
      </c>
      <c r="F17" s="78">
        <v>5</v>
      </c>
      <c r="G17" s="74">
        <v>15</v>
      </c>
      <c r="H17" s="39"/>
      <c r="I17" s="40">
        <f ca="1">SUM(PRAC!M15,PRAC!V15)</f>
        <v>20</v>
      </c>
      <c r="J17" s="4" t="e">
        <f>IF(L17="",100,SUM(PRAC!#REF!,PRAC!#REF!))</f>
        <v>#REF!</v>
      </c>
      <c r="K17" s="4" t="e">
        <f t="shared" si="0"/>
        <v>#REF!</v>
      </c>
      <c r="L17" s="40" t="str">
        <f>IF('STARTOVNÍ LISTINA (1)'!B16="","",'STARTOVNÍ LISTINA (1)'!B16)</f>
        <v>POKORNÁ Hana, pprap.</v>
      </c>
      <c r="M17" s="40" t="str">
        <f>IF('STARTOVNÍ LISTINA (1)'!D16="","",'STARTOVNÍ LISTINA (1)'!D16)</f>
        <v>HUBERT</v>
      </c>
      <c r="N17" s="40" t="str">
        <f>IF('STARTOVNÍ LISTINA (1)'!E16="","",'STARTOVNÍ LISTINA (1)'!E16)</f>
        <v>KŘP Zlínského kraje</v>
      </c>
      <c r="O17" s="40">
        <f>IF('STARTOVNÍ LISTINA (1)'!A16="","",'STARTOVNÍ LISTINA (1)'!A16)</f>
        <v>8</v>
      </c>
      <c r="R17" s="61" t="e">
        <f t="shared" si="1"/>
        <v>#REF!</v>
      </c>
      <c r="S17" s="40" t="e">
        <f t="shared" si="2"/>
        <v>#REF!</v>
      </c>
      <c r="T17" s="40" t="e">
        <f t="shared" si="3"/>
        <v>#REF!</v>
      </c>
      <c r="U17" s="40" t="e">
        <f t="shared" si="4"/>
        <v>#REF!</v>
      </c>
      <c r="Z17" s="40" t="e">
        <f t="shared" si="5"/>
        <v>#REF!</v>
      </c>
      <c r="AA17" s="40" t="e">
        <f t="shared" si="6"/>
        <v>#REF!</v>
      </c>
      <c r="AB17" s="40" t="e">
        <f t="shared" si="7"/>
        <v>#REF!</v>
      </c>
      <c r="AC17" s="40" t="e">
        <f t="shared" si="8"/>
        <v>#REF!</v>
      </c>
      <c r="AD17" s="40" t="e">
        <f t="shared" si="9"/>
        <v>#REF!</v>
      </c>
      <c r="AE17" s="40" t="e">
        <f t="shared" si="10"/>
        <v>#REF!</v>
      </c>
    </row>
    <row r="18" spans="1:31" s="40" customFormat="1" ht="20.100000000000001" customHeight="1">
      <c r="A18" s="48">
        <v>12</v>
      </c>
      <c r="B18" s="28" t="str">
        <f>IF($G18="","",VLOOKUP($G18,'STARTOVNÍ LISTINA'!$A$8:$E$37,2,0))</f>
        <v/>
      </c>
      <c r="C18" s="52" t="str">
        <f>IF($G18="","",VLOOKUP($G18,'STARTOVNÍ LISTINA'!$A$8:$E$37,3,0))</f>
        <v/>
      </c>
      <c r="D18" s="51" t="str">
        <f>IF($G18="","",VLOOKUP($G18,'STARTOVNÍ LISTINA'!$A$8:$E$37,4,0))</f>
        <v/>
      </c>
      <c r="E18" s="71"/>
      <c r="F18" s="78"/>
      <c r="G18" s="74"/>
      <c r="H18" s="39"/>
      <c r="J18" s="4"/>
      <c r="K18" s="4"/>
      <c r="R18" s="61"/>
    </row>
    <row r="19" spans="1:31" s="40" customFormat="1" ht="20.100000000000001" customHeight="1">
      <c r="A19" s="48">
        <v>13</v>
      </c>
      <c r="B19" s="28" t="str">
        <f>IF($G19="","",VLOOKUP($G19,'STARTOVNÍ LISTINA'!$A$8:$E$37,2,0))</f>
        <v/>
      </c>
      <c r="C19" s="52" t="str">
        <f>IF($G19="","",VLOOKUP($G19,'STARTOVNÍ LISTINA'!$A$8:$E$37,3,0))</f>
        <v/>
      </c>
      <c r="D19" s="51" t="str">
        <f>IF($G19="","",VLOOKUP($G19,'STARTOVNÍ LISTINA'!$A$8:$E$37,4,0))</f>
        <v/>
      </c>
      <c r="E19" s="71"/>
      <c r="F19" s="78"/>
      <c r="G19" s="74"/>
      <c r="H19" s="39"/>
      <c r="J19" s="4"/>
      <c r="K19" s="4"/>
      <c r="R19" s="61"/>
    </row>
    <row r="20" spans="1:31" s="40" customFormat="1" ht="20.100000000000001" customHeight="1">
      <c r="A20" s="48">
        <v>14</v>
      </c>
      <c r="B20" s="28" t="str">
        <f>IF($G20="","",VLOOKUP($G20,'STARTOVNÍ LISTINA'!$A$8:$E$37,2,0))</f>
        <v/>
      </c>
      <c r="C20" s="52" t="str">
        <f>IF($G20="","",VLOOKUP($G20,'STARTOVNÍ LISTINA'!$A$8:$E$37,3,0))</f>
        <v/>
      </c>
      <c r="D20" s="51" t="str">
        <f>IF($G20="","",VLOOKUP($G20,'STARTOVNÍ LISTINA'!$A$8:$E$37,4,0))</f>
        <v/>
      </c>
      <c r="E20" s="71"/>
      <c r="F20" s="78"/>
      <c r="G20" s="74"/>
      <c r="H20" s="39"/>
      <c r="I20" s="40">
        <f ca="1">SUM(PRAC!M13,PRAC!V13)</f>
        <v>13</v>
      </c>
      <c r="J20" s="4" t="e">
        <f>IF(L20="",100,SUM(PRAC!#REF!,PRAC!#REF!))</f>
        <v>#REF!</v>
      </c>
      <c r="K20" s="4" t="e">
        <f t="shared" si="0"/>
        <v>#REF!</v>
      </c>
      <c r="L20" s="40" t="str">
        <f>IF('STARTOVNÍ LISTINA (1)'!B14="","",'STARTOVNÍ LISTINA (1)'!B14)</f>
        <v>BŘEČKA Dalibor, pprap.</v>
      </c>
      <c r="M20" s="40" t="str">
        <f>IF('STARTOVNÍ LISTINA (1)'!D14="","",'STARTOVNÍ LISTINA (1)'!D14)</f>
        <v>TAJFUN</v>
      </c>
      <c r="N20" s="40" t="str">
        <f>IF('STARTOVNÍ LISTINA (1)'!E14="","",'STARTOVNÍ LISTINA (1)'!E14)</f>
        <v>KŘP Zlínského kraje</v>
      </c>
      <c r="O20" s="40">
        <f>IF('STARTOVNÍ LISTINA (1)'!A14="","",'STARTOVNÍ LISTINA (1)'!A14)</f>
        <v>6</v>
      </c>
      <c r="R20" s="61" t="e">
        <f t="shared" si="1"/>
        <v>#REF!</v>
      </c>
      <c r="S20" s="40" t="e">
        <f t="shared" si="2"/>
        <v>#REF!</v>
      </c>
      <c r="T20" s="40" t="e">
        <f t="shared" si="3"/>
        <v>#REF!</v>
      </c>
      <c r="U20" s="40" t="e">
        <f t="shared" si="4"/>
        <v>#REF!</v>
      </c>
      <c r="Z20" s="40" t="e">
        <f t="shared" si="5"/>
        <v>#REF!</v>
      </c>
      <c r="AA20" s="40" t="e">
        <f t="shared" si="6"/>
        <v>#REF!</v>
      </c>
      <c r="AB20" s="40" t="e">
        <f t="shared" si="7"/>
        <v>#REF!</v>
      </c>
      <c r="AC20" s="40" t="e">
        <f t="shared" si="8"/>
        <v>#REF!</v>
      </c>
      <c r="AD20" s="40" t="e">
        <f t="shared" si="9"/>
        <v>#REF!</v>
      </c>
      <c r="AE20" s="40" t="e">
        <f t="shared" si="10"/>
        <v>#REF!</v>
      </c>
    </row>
    <row r="21" spans="1:31" s="40" customFormat="1" ht="20.100000000000001" customHeight="1" thickBot="1">
      <c r="A21" s="49">
        <v>15</v>
      </c>
      <c r="B21" s="29" t="str">
        <f>IF($G21="","",VLOOKUP($G21,'STARTOVNÍ LISTINA'!$A$8:$E$37,2,0))</f>
        <v/>
      </c>
      <c r="C21" s="53" t="str">
        <f>IF($G21="","",VLOOKUP($G21,'STARTOVNÍ LISTINA'!$A$8:$E$37,3,0))</f>
        <v/>
      </c>
      <c r="D21" s="58" t="str">
        <f>IF($G21="","",VLOOKUP($G21,'STARTOVNÍ LISTINA'!$A$8:$E$37,4,0))</f>
        <v/>
      </c>
      <c r="E21" s="72"/>
      <c r="F21" s="79"/>
      <c r="G21" s="76"/>
      <c r="H21" s="39"/>
      <c r="I21" s="40" t="e">
        <f>SUM(PRAC!#REF!,PRAC!#REF!)</f>
        <v>#REF!</v>
      </c>
      <c r="J21" s="4">
        <f>IF(L21="",100,SUM(PRAC!#REF!,PRAC!#REF!))</f>
        <v>100</v>
      </c>
      <c r="K21" s="4" t="e">
        <f t="shared" si="0"/>
        <v>#REF!</v>
      </c>
      <c r="L21" s="40" t="str">
        <f>IF('STARTOVNÍ LISTINA (1)'!B38="","",'STARTOVNÍ LISTINA (1)'!B38)</f>
        <v/>
      </c>
      <c r="M21" s="40" t="str">
        <f>IF('STARTOVNÍ LISTINA (1)'!D38="","",'STARTOVNÍ LISTINA (1)'!D38)</f>
        <v/>
      </c>
      <c r="N21" s="40" t="str">
        <f>IF('STARTOVNÍ LISTINA (1)'!E38="","",'STARTOVNÍ LISTINA (1)'!E38)</f>
        <v/>
      </c>
      <c r="O21" s="40">
        <f>IF('STARTOVNÍ LISTINA (1)'!A38="","",'STARTOVNÍ LISTINA (1)'!A38)</f>
        <v>30</v>
      </c>
      <c r="R21" s="61" t="e">
        <f t="shared" si="1"/>
        <v>#REF!</v>
      </c>
      <c r="S21" s="40" t="e">
        <f t="shared" si="2"/>
        <v>#REF!</v>
      </c>
      <c r="T21" s="40" t="e">
        <f t="shared" si="3"/>
        <v>#REF!</v>
      </c>
      <c r="U21" s="40" t="e">
        <f t="shared" si="4"/>
        <v>#REF!</v>
      </c>
      <c r="Z21" s="40" t="e">
        <f>IF(S21="","",O21)</f>
        <v>#REF!</v>
      </c>
      <c r="AA21" s="40" t="e">
        <f t="shared" si="6"/>
        <v>#REF!</v>
      </c>
      <c r="AB21" s="40" t="e">
        <f t="shared" si="7"/>
        <v>#REF!</v>
      </c>
      <c r="AC21" s="40" t="e">
        <f t="shared" si="8"/>
        <v>#REF!</v>
      </c>
      <c r="AD21" s="40" t="e">
        <f t="shared" si="9"/>
        <v>#REF!</v>
      </c>
      <c r="AE21" s="40" t="e">
        <f t="shared" si="10"/>
        <v>#REF!</v>
      </c>
    </row>
    <row r="22" spans="1:31" ht="15">
      <c r="G22" s="146" t="s">
        <v>31</v>
      </c>
      <c r="AA22" s="40"/>
    </row>
    <row r="23" spans="1:31" ht="15" hidden="1"/>
    <row r="24" spans="1:31" ht="15" hidden="1"/>
    <row r="25" spans="1:31" ht="15" hidden="1"/>
    <row r="26" spans="1:31" s="33" customFormat="1" ht="15" hidden="1"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33" customFormat="1" ht="15" hidden="1"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33" customFormat="1" ht="15" hidden="1"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33" customFormat="1" ht="15" hidden="1"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33" customFormat="1" ht="15" hidden="1"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33" customFormat="1" ht="15" hidden="1"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33" customFormat="1" ht="15" hidden="1"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9:31" s="33" customFormat="1" ht="15" hidden="1"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9:31" s="33" customFormat="1" ht="15" hidden="1"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9:31" s="33" customFormat="1" ht="15" hidden="1"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9:31" s="33" customFormat="1" ht="15" hidden="1"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9:31" s="33" customFormat="1" ht="15" hidden="1"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9:31" s="33" customFormat="1" ht="15" hidden="1"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9:31" s="33" customFormat="1" ht="15" hidden="1"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9:31" s="33" customFormat="1" ht="15" hidden="1"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9:31" s="33" customFormat="1" ht="15" hidden="1"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9:31" s="33" customFormat="1" ht="15" hidden="1"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9:31" s="33" customFormat="1" ht="15" hidden="1"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9:31" s="33" customFormat="1" ht="15" hidden="1"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9:31" s="33" customFormat="1" ht="15" hidden="1"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9:31" s="33" customFormat="1" ht="15" hidden="1"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9:31" s="33" customFormat="1" ht="15" hidden="1"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9:31" s="33" customFormat="1" ht="15" hidden="1"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9:31" s="33" customFormat="1" ht="15" hidden="1"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9:31" ht="15" hidden="1" customHeight="1"/>
  </sheetData>
  <sheetProtection selectLockedCells="1"/>
  <phoneticPr fontId="27" type="noConversion"/>
  <conditionalFormatting sqref="G7:G21">
    <cfRule type="expression" dxfId="0" priority="1" stopIfTrue="1">
      <formula>COUNTIF($G$7:$G$21,G7)&gt;1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>
    <oddFooter>&amp;L&amp;"Tahoma,Tučné"&amp;8 25. - 26. května 2010&amp;C&amp;"Tahoma,Tučné"&amp;8Panská Lícha, Brno&amp;R&amp;"Tahoma,Tučné"&amp;8©2012 OAIK SKPV KŘP Jmk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N71"/>
  <sheetViews>
    <sheetView zoomScale="70" zoomScaleNormal="70" workbookViewId="0">
      <selection activeCell="W5" sqref="W5"/>
    </sheetView>
  </sheetViews>
  <sheetFormatPr defaultColWidth="0" defaultRowHeight="15" customHeight="1" zeroHeight="1"/>
  <cols>
    <col min="1" max="1" width="9.77734375" style="33" customWidth="1"/>
    <col min="2" max="2" width="45.109375" style="33" bestFit="1" customWidth="1"/>
    <col min="3" max="22" width="5.77734375" style="33" customWidth="1"/>
    <col min="23" max="23" width="8.77734375" style="33" customWidth="1"/>
    <col min="24" max="24" width="1.77734375" style="33" customWidth="1"/>
    <col min="25" max="248" width="8.88671875" style="34" hidden="1" customWidth="1"/>
    <col min="249" max="16384" width="0" style="34" hidden="1"/>
  </cols>
  <sheetData>
    <row r="1" spans="1:24" ht="30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4" s="38" customFormat="1" ht="18">
      <c r="A2" s="35" t="s">
        <v>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7"/>
    </row>
    <row r="3" spans="1:24" s="38" customFormat="1" ht="18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s="40" customForma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40" customFormat="1">
      <c r="A5" s="41" t="s">
        <v>146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2" t="s">
        <v>145</v>
      </c>
      <c r="X5" s="39"/>
    </row>
    <row r="6" spans="1:24" s="40" customFormat="1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s="40" customFormat="1" ht="35.1" customHeight="1" thickBot="1">
      <c r="A7" s="43" t="s">
        <v>0</v>
      </c>
      <c r="B7" s="44" t="s">
        <v>75</v>
      </c>
      <c r="C7" s="44" t="s">
        <v>54</v>
      </c>
      <c r="D7" s="44" t="s">
        <v>55</v>
      </c>
      <c r="E7" s="44" t="s">
        <v>56</v>
      </c>
      <c r="F7" s="44" t="s">
        <v>57</v>
      </c>
      <c r="G7" s="44" t="s">
        <v>58</v>
      </c>
      <c r="H7" s="44" t="s">
        <v>59</v>
      </c>
      <c r="I7" s="44" t="s">
        <v>60</v>
      </c>
      <c r="J7" s="44" t="s">
        <v>61</v>
      </c>
      <c r="K7" s="44" t="s">
        <v>63</v>
      </c>
      <c r="L7" s="44" t="s">
        <v>64</v>
      </c>
      <c r="M7" s="44" t="s">
        <v>65</v>
      </c>
      <c r="N7" s="44" t="s">
        <v>66</v>
      </c>
      <c r="O7" s="44" t="s">
        <v>67</v>
      </c>
      <c r="P7" s="44" t="s">
        <v>68</v>
      </c>
      <c r="Q7" s="44" t="s">
        <v>69</v>
      </c>
      <c r="R7" s="44" t="s">
        <v>70</v>
      </c>
      <c r="S7" s="44" t="s">
        <v>71</v>
      </c>
      <c r="T7" s="44" t="s">
        <v>72</v>
      </c>
      <c r="U7" s="44" t="s">
        <v>73</v>
      </c>
      <c r="V7" s="44" t="s">
        <v>74</v>
      </c>
      <c r="W7" s="46" t="s">
        <v>13</v>
      </c>
      <c r="X7" s="39"/>
    </row>
    <row r="8" spans="1:24" s="40" customFormat="1" ht="20.100000000000001" customHeight="1">
      <c r="A8" s="47">
        <v>1</v>
      </c>
      <c r="B8" s="28" t="str">
        <f>IF(VLOOKUP(A8,'STARTOVNÍ LISTINA'!$A$8:$E$37,2,0)=0,"",CONCATENATE(VLOOKUP(A8,'STARTOVNÍ LISTINA'!$A$8:$E$37,2,0)," (",VLOOKUP(A8,'STARTOVNÍ LISTINA'!$A$8:$E$37,3,0),")"))</f>
        <v>SLEZÁK Michal, nstržm. Ing. (ENRICO)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0"/>
      <c r="S8" s="50"/>
      <c r="T8" s="50"/>
      <c r="U8" s="50"/>
      <c r="V8" s="50"/>
      <c r="W8" s="56"/>
      <c r="X8" s="39"/>
    </row>
    <row r="9" spans="1:24" s="40" customFormat="1" ht="20.100000000000001" customHeight="1">
      <c r="A9" s="48">
        <v>2</v>
      </c>
      <c r="B9" s="28" t="str">
        <f>IF(VLOOKUP(A9,'STARTOVNÍ LISTINA'!$A$8:$E$37,2,0)=0,"",CONCATENATE(VLOOKUP(A9,'STARTOVNÍ LISTINA'!$A$8:$E$37,2,0)," (",VLOOKUP(A9,'STARTOVNÍ LISTINA'!$A$8:$E$37,3,0),")"))</f>
        <v>ŠEJSTAL Radek, prap. (LISTR)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7"/>
      <c r="X9" s="39"/>
    </row>
    <row r="10" spans="1:24" s="40" customFormat="1" ht="20.100000000000001" customHeight="1">
      <c r="A10" s="48">
        <v>3</v>
      </c>
      <c r="B10" s="28" t="str">
        <f>IF(VLOOKUP(A10,'STARTOVNÍ LISTINA'!$A$8:$E$37,2,0)=0,"",CONCATENATE(VLOOKUP(A10,'STARTOVNÍ LISTINA'!$A$8:$E$37,2,0)," (",VLOOKUP(A10,'STARTOVNÍ LISTINA'!$A$8:$E$37,3,0),")"))</f>
        <v>SZIVACKI Joszef Tibor (VELÚR)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7"/>
      <c r="X10" s="39"/>
    </row>
    <row r="11" spans="1:24" s="40" customFormat="1" ht="20.100000000000001" customHeight="1">
      <c r="A11" s="48">
        <v>4</v>
      </c>
      <c r="B11" s="28" t="str">
        <f>IF(VLOOKUP(A11,'STARTOVNÍ LISTINA'!$A$8:$E$37,2,0)=0,"",CONCATENATE(VLOOKUP(A11,'STARTOVNÍ LISTINA'!$A$8:$E$37,2,0)," (",VLOOKUP(A11,'STARTOVNÍ LISTINA'!$A$8:$E$37,3,0),")"))</f>
        <v>ZGOLA Marián, ppráp. (LAPAZ 21)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7"/>
      <c r="X11" s="39"/>
    </row>
    <row r="12" spans="1:24" s="40" customFormat="1" ht="20.100000000000001" customHeight="1">
      <c r="A12" s="48">
        <v>5</v>
      </c>
      <c r="B12" s="28" t="str">
        <f>IF(VLOOKUP(A12,'STARTOVNÍ LISTINA'!$A$8:$E$37,2,0)=0,"",CONCATENATE(VLOOKUP(A12,'STARTOVNÍ LISTINA'!$A$8:$E$37,2,0)," (",VLOOKUP(A12,'STARTOVNÍ LISTINA'!$A$8:$E$37,3,0),")"))</f>
        <v>GASPÁR György (RUBIN)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7"/>
      <c r="X12" s="39"/>
    </row>
    <row r="13" spans="1:24" s="40" customFormat="1" ht="20.100000000000001" customHeight="1">
      <c r="A13" s="48">
        <v>6</v>
      </c>
      <c r="B13" s="28" t="str">
        <f>IF(VLOOKUP(A13,'STARTOVNÍ LISTINA'!$A$8:$E$37,2,0)=0,"",CONCATENATE(VLOOKUP(A13,'STARTOVNÍ LISTINA'!$A$8:$E$37,2,0)," (",VLOOKUP(A13,'STARTOVNÍ LISTINA'!$A$8:$E$37,3,0),")"))</f>
        <v>BŘEČKA Dalibor, pprap. (TAJFUN)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7"/>
      <c r="X13" s="39"/>
    </row>
    <row r="14" spans="1:24" s="40" customFormat="1" ht="20.100000000000001" customHeight="1">
      <c r="A14" s="48">
        <v>7</v>
      </c>
      <c r="B14" s="28" t="str">
        <f>IF(VLOOKUP(A14,'STARTOVNÍ LISTINA'!$A$8:$E$37,2,0)=0,"",CONCATENATE(VLOOKUP(A14,'STARTOVNÍ LISTINA'!$A$8:$E$37,2,0)," (",VLOOKUP(A14,'STARTOVNÍ LISTINA'!$A$8:$E$37,3,0),")"))</f>
        <v>NOVÁK Tomáš, str. (SOLO PANDORA)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7"/>
      <c r="X14" s="39"/>
    </row>
    <row r="15" spans="1:24" s="40" customFormat="1" ht="20.100000000000001" customHeight="1">
      <c r="A15" s="48">
        <v>8</v>
      </c>
      <c r="B15" s="28" t="str">
        <f>IF(VLOOKUP(A15,'STARTOVNÍ LISTINA'!$A$8:$E$37,2,0)=0,"",CONCATENATE(VLOOKUP(A15,'STARTOVNÍ LISTINA'!$A$8:$E$37,2,0)," (",VLOOKUP(A15,'STARTOVNÍ LISTINA'!$A$8:$E$37,3,0),")"))</f>
        <v>POKORNÁ Hana, pprap. (HUBERT)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7"/>
      <c r="X15" s="39"/>
    </row>
    <row r="16" spans="1:24" s="40" customFormat="1" ht="20.100000000000001" customHeight="1">
      <c r="A16" s="48">
        <v>9</v>
      </c>
      <c r="B16" s="28" t="str">
        <f>IF(VLOOKUP(A16,'STARTOVNÍ LISTINA'!$A$8:$E$37,2,0)=0,"",CONCATENATE(VLOOKUP(A16,'STARTOVNÍ LISTINA'!$A$8:$E$37,2,0)," (",VLOOKUP(A16,'STARTOVNÍ LISTINA'!$A$8:$E$37,3,0),")"))</f>
        <v>KUROPATNICKÁ Zuzana, nstržm. (CASSIUS)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7"/>
      <c r="X16" s="39"/>
    </row>
    <row r="17" spans="1:24" s="40" customFormat="1" ht="20.100000000000001" customHeight="1">
      <c r="A17" s="48">
        <v>10</v>
      </c>
      <c r="B17" s="28" t="str">
        <f>IF(VLOOKUP(A17,'STARTOVNÍ LISTINA'!$A$8:$E$37,2,0)=0,"",CONCATENATE(VLOOKUP(A17,'STARTOVNÍ LISTINA'!$A$8:$E$37,2,0)," (",VLOOKUP(A17,'STARTOVNÍ LISTINA'!$A$8:$E$37,3,0),")"))</f>
        <v>BUROV Roman (BOSS (KŘP JMK))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60"/>
      <c r="X17" s="39"/>
    </row>
    <row r="18" spans="1:24" s="40" customFormat="1" ht="20.100000000000001" customHeight="1">
      <c r="A18" s="48">
        <v>11</v>
      </c>
      <c r="B18" s="28" t="str">
        <f>IF(VLOOKUP(A18,'STARTOVNÍ LISTINA'!$A$8:$E$37,2,0)=0,"",CONCATENATE(VLOOKUP(A18,'STARTOVNÍ LISTINA'!$A$8:$E$37,2,0)," (",VLOOKUP(A18,'STARTOVNÍ LISTINA'!$A$8:$E$37,3,0),")"))</f>
        <v>VYSLOUŽILOVÁ Martina, pprap. (PRESTIGE)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7"/>
      <c r="X18" s="39"/>
    </row>
    <row r="19" spans="1:24" s="40" customFormat="1" ht="20.100000000000001" customHeight="1">
      <c r="A19" s="48">
        <v>12</v>
      </c>
      <c r="B19" s="28" t="str">
        <f>IF(VLOOKUP(A19,'STARTOVNÍ LISTINA'!$A$8:$E$37,2,0)=0,"",CONCATENATE(VLOOKUP(A19,'STARTOVNÍ LISTINA'!$A$8:$E$37,2,0)," (",VLOOKUP(A19,'STARTOVNÍ LISTINA'!$A$8:$E$37,3,0),")"))</f>
        <v>TRNKOVÁ Simona, str. (SOLO XALA)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7"/>
      <c r="X19" s="39"/>
    </row>
    <row r="20" spans="1:24" s="40" customFormat="1" ht="20.100000000000001" customHeight="1">
      <c r="A20" s="48">
        <v>13</v>
      </c>
      <c r="B20" s="28" t="str">
        <f>IF(VLOOKUP(A20,'STARTOVNÍ LISTINA'!$A$8:$E$37,2,0)=0,"",CONCATENATE(VLOOKUP(A20,'STARTOVNÍ LISTINA'!$A$8:$E$37,2,0)," (",VLOOKUP(A20,'STARTOVNÍ LISTINA'!$A$8:$E$37,3,0),")"))</f>
        <v>BONK Christin (KRISTAL)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7"/>
      <c r="X20" s="39"/>
    </row>
    <row r="21" spans="1:24" s="40" customFormat="1" ht="20.100000000000001" customHeight="1">
      <c r="A21" s="48">
        <v>14</v>
      </c>
      <c r="B21" s="28" t="str">
        <f>IF(VLOOKUP(A21,'STARTOVNÍ LISTINA'!$A$8:$E$37,2,0)=0,"",CONCATENATE(VLOOKUP(A21,'STARTOVNÍ LISTINA'!$A$8:$E$37,2,0)," (",VLOOKUP(A21,'STARTOVNÍ LISTINA'!$A$8:$E$37,3,0),")"))</f>
        <v>OSTŘANSKÁ Renata, nstržm. (VIZIR)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7"/>
      <c r="X21" s="39"/>
    </row>
    <row r="22" spans="1:24" s="40" customFormat="1" ht="20.100000000000001" customHeight="1">
      <c r="A22" s="48">
        <v>15</v>
      </c>
      <c r="B22" s="28" t="str">
        <f>IF(VLOOKUP(A22,'STARTOVNÍ LISTINA'!$A$8:$E$37,2,0)=0,"",CONCATENATE(VLOOKUP(A22,'STARTOVNÍ LISTINA'!$A$8:$E$37,2,0)," (",VLOOKUP(A22,'STARTOVNÍ LISTINA'!$A$8:$E$37,3,0),")"))</f>
        <v>PETROVIČ Zbyněk, str. (ROMKE FAVIDA)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7"/>
      <c r="X22" s="39"/>
    </row>
    <row r="23" spans="1:24" s="40" customFormat="1" ht="20.100000000000001" customHeight="1">
      <c r="A23" s="48">
        <v>16</v>
      </c>
      <c r="B23" s="28" t="str">
        <f>IF(VLOOKUP(A23,'STARTOVNÍ LISTINA'!$A$8:$E$37,2,0)=0,"",CONCATENATE(VLOOKUP(A23,'STARTOVNÍ LISTINA'!$A$8:$E$37,2,0)," (",VLOOKUP(A23,'STARTOVNÍ LISTINA'!$A$8:$E$37,3,0),")"))</f>
        <v>PILKO Stephan (QUICK STEP)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7"/>
      <c r="X23" s="39"/>
    </row>
    <row r="24" spans="1:24" s="40" customFormat="1" ht="20.100000000000001" customHeight="1">
      <c r="A24" s="48">
        <v>17</v>
      </c>
      <c r="B24" s="28" t="str">
        <f>IF(VLOOKUP(A24,'STARTOVNÍ LISTINA'!$A$8:$E$37,2,0)=0,"",CONCATENATE(VLOOKUP(A24,'STARTOVNÍ LISTINA'!$A$8:$E$37,2,0)," (",VLOOKUP(A24,'STARTOVNÍ LISTINA'!$A$8:$E$37,3,0),")"))</f>
        <v>SVOBODA Lukáš, nstržm. (SANTÉ)</v>
      </c>
      <c r="C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7"/>
      <c r="X24" s="39"/>
    </row>
    <row r="25" spans="1:24" s="40" customFormat="1" ht="20.100000000000001" customHeight="1">
      <c r="A25" s="48">
        <v>18</v>
      </c>
      <c r="B25" s="28" t="str">
        <f>IF(VLOOKUP(A25,'STARTOVNÍ LISTINA'!$A$8:$E$37,2,0)=0,"",CONCATENATE(VLOOKUP(A25,'STARTOVNÍ LISTINA'!$A$8:$E$37,2,0)," (",VLOOKUP(A25,'STARTOVNÍ LISTINA'!$A$8:$E$37,3,0),")"))</f>
        <v>ZEDNÍČEK Libor, str. (SOLO MACARENA)</v>
      </c>
      <c r="C25" s="52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7"/>
      <c r="X25" s="39"/>
    </row>
    <row r="26" spans="1:24" s="40" customFormat="1" ht="20.100000000000001" customHeight="1">
      <c r="A26" s="48">
        <v>19</v>
      </c>
      <c r="B26" s="28" t="str">
        <f>IF(VLOOKUP(A26,'STARTOVNÍ LISTINA'!$A$8:$E$37,2,0)=0,"",CONCATENATE(VLOOKUP(A26,'STARTOVNÍ LISTINA'!$A$8:$E$37,2,0)," (",VLOOKUP(A26,'STARTOVNÍ LISTINA'!$A$8:$E$37,3,0),")"))</f>
        <v>HRADIL Tomáš, pprap. (ŽAGIR)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7"/>
      <c r="X26" s="39"/>
    </row>
    <row r="27" spans="1:24" s="40" customFormat="1" ht="20.100000000000001" customHeight="1">
      <c r="A27" s="48">
        <v>20</v>
      </c>
      <c r="B27" s="28" t="str">
        <f>IF(VLOOKUP(A27,'STARTOVNÍ LISTINA'!$A$8:$E$37,2,0)=0,"",CONCATENATE(VLOOKUP(A27,'STARTOVNÍ LISTINA'!$A$8:$E$37,2,0)," (",VLOOKUP(A27,'STARTOVNÍ LISTINA'!$A$8:$E$37,3,0),")"))</f>
        <v>HORNÍK Martin, str. Ing. (SACRAMOSO XANTA ALBA)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7"/>
      <c r="X27" s="39"/>
    </row>
    <row r="28" spans="1:24" s="40" customFormat="1" ht="20.100000000000001" customHeight="1">
      <c r="A28" s="48">
        <v>21</v>
      </c>
      <c r="B28" s="28" t="str">
        <f>IF(VLOOKUP(A28,'STARTOVNÍ LISTINA'!$A$8:$E$37,2,0)=0,"",CONCATENATE(VLOOKUP(A28,'STARTOVNÍ LISTINA'!$A$8:$E$37,2,0)," (",VLOOKUP(A28,'STARTOVNÍ LISTINA'!$A$8:$E$37,3,0),")"))</f>
        <v>JOHN Přemysl, nstržm. (DERWISZ)</v>
      </c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7"/>
      <c r="X28" s="39"/>
    </row>
    <row r="29" spans="1:24" s="40" customFormat="1" ht="20.100000000000001" customHeight="1">
      <c r="A29" s="48">
        <v>22</v>
      </c>
      <c r="B29" s="28" t="str">
        <f>IF(VLOOKUP(A29,'STARTOVNÍ LISTINA'!$A$8:$E$37,2,0)=0,"",CONCATENATE(VLOOKUP(A29,'STARTOVNÍ LISTINA'!$A$8:$E$37,2,0)," (",VLOOKUP(A29,'STARTOVNÍ LISTINA'!$A$8:$E$37,3,0),")"))</f>
        <v>NOVÁ Ladislava, str. (SOLO MATERA)</v>
      </c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7"/>
      <c r="X29" s="39"/>
    </row>
    <row r="30" spans="1:24" s="40" customFormat="1" ht="20.100000000000001" customHeight="1">
      <c r="A30" s="48">
        <v>23</v>
      </c>
      <c r="B30" s="28" t="str">
        <f>IF(VLOOKUP(A30,'STARTOVNÍ LISTINA'!$A$8:$E$37,2,0)=0,"",CONCATENATE(VLOOKUP(A30,'STARTOVNÍ LISTINA'!$A$8:$E$37,2,0)," (",VLOOKUP(A30,'STARTOVNÍ LISTINA'!$A$8:$E$37,3,0),")"))</f>
        <v/>
      </c>
      <c r="C30" s="52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7"/>
      <c r="X30" s="39"/>
    </row>
    <row r="31" spans="1:24" s="40" customFormat="1" ht="20.100000000000001" customHeight="1">
      <c r="A31" s="48">
        <v>24</v>
      </c>
      <c r="B31" s="28" t="str">
        <f>IF(VLOOKUP(A31,'STARTOVNÍ LISTINA'!$A$8:$E$37,2,0)=0,"",CONCATENATE(VLOOKUP(A31,'STARTOVNÍ LISTINA'!$A$8:$E$37,2,0)," (",VLOOKUP(A31,'STARTOVNÍ LISTINA'!$A$8:$E$37,3,0),")"))</f>
        <v/>
      </c>
      <c r="C31" s="52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7"/>
      <c r="X31" s="39"/>
    </row>
    <row r="32" spans="1:24" s="40" customFormat="1" ht="20.100000000000001" customHeight="1">
      <c r="A32" s="48">
        <v>25</v>
      </c>
      <c r="B32" s="28" t="str">
        <f>IF(VLOOKUP(A32,'STARTOVNÍ LISTINA'!$A$8:$E$37,2,0)=0,"",CONCATENATE(VLOOKUP(A32,'STARTOVNÍ LISTINA'!$A$8:$E$37,2,0)," (",VLOOKUP(A32,'STARTOVNÍ LISTINA'!$A$8:$E$37,3,0),")"))</f>
        <v/>
      </c>
      <c r="C32" s="5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7"/>
      <c r="X32" s="39"/>
    </row>
    <row r="33" spans="1:24" s="40" customFormat="1" ht="20.100000000000001" customHeight="1">
      <c r="A33" s="48">
        <v>26</v>
      </c>
      <c r="B33" s="28" t="str">
        <f>IF(VLOOKUP(A33,'STARTOVNÍ LISTINA'!$A$8:$E$37,2,0)=0,"",CONCATENATE(VLOOKUP(A33,'STARTOVNÍ LISTINA'!$A$8:$E$37,2,0)," (",VLOOKUP(A33,'STARTOVNÍ LISTINA'!$A$8:$E$37,3,0),")"))</f>
        <v/>
      </c>
      <c r="C33" s="5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7"/>
      <c r="X33" s="39"/>
    </row>
    <row r="34" spans="1:24" s="40" customFormat="1" ht="20.100000000000001" customHeight="1">
      <c r="A34" s="48">
        <v>27</v>
      </c>
      <c r="B34" s="28" t="str">
        <f>IF(VLOOKUP(A34,'STARTOVNÍ LISTINA'!$A$8:$E$37,2,0)=0,"",CONCATENATE(VLOOKUP(A34,'STARTOVNÍ LISTINA'!$A$8:$E$37,2,0)," (",VLOOKUP(A34,'STARTOVNÍ LISTINA'!$A$8:$E$37,3,0),")"))</f>
        <v/>
      </c>
      <c r="C34" s="5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7"/>
      <c r="X34" s="39"/>
    </row>
    <row r="35" spans="1:24" s="40" customFormat="1" ht="20.100000000000001" customHeight="1">
      <c r="A35" s="48">
        <v>28</v>
      </c>
      <c r="B35" s="28" t="str">
        <f>IF(VLOOKUP(A35,'STARTOVNÍ LISTINA'!$A$8:$E$37,2,0)=0,"",CONCATENATE(VLOOKUP(A35,'STARTOVNÍ LISTINA'!$A$8:$E$37,2,0)," (",VLOOKUP(A35,'STARTOVNÍ LISTINA'!$A$8:$E$37,3,0),")"))</f>
        <v/>
      </c>
      <c r="C35" s="52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7"/>
      <c r="X35" s="39"/>
    </row>
    <row r="36" spans="1:24" s="40" customFormat="1" ht="20.100000000000001" customHeight="1">
      <c r="A36" s="48">
        <v>29</v>
      </c>
      <c r="B36" s="28" t="str">
        <f>IF(VLOOKUP(A36,'STARTOVNÍ LISTINA'!$A$8:$E$37,2,0)=0,"",CONCATENATE(VLOOKUP(A36,'STARTOVNÍ LISTINA'!$A$8:$E$37,2,0)," (",VLOOKUP(A36,'STARTOVNÍ LISTINA'!$A$8:$E$37,3,0),")"))</f>
        <v/>
      </c>
      <c r="C36" s="5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7"/>
      <c r="X36" s="39"/>
    </row>
    <row r="37" spans="1:24" s="40" customFormat="1" ht="20.100000000000001" customHeight="1" thickBot="1">
      <c r="A37" s="49">
        <v>30</v>
      </c>
      <c r="B37" s="29" t="str">
        <f>IF(VLOOKUP(A37,'STARTOVNÍ LISTINA'!$A$8:$E$37,2,0)=0,"",CONCATENATE(VLOOKUP(A37,'STARTOVNÍ LISTINA'!$A$8:$E$37,2,0)," (",VLOOKUP(A37,'STARTOVNÍ LISTINA'!$A$8:$E$37,3,0),")"))</f>
        <v/>
      </c>
      <c r="C37" s="53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39"/>
    </row>
    <row r="38" spans="1:24">
      <c r="W38" s="146" t="s">
        <v>31</v>
      </c>
    </row>
    <row r="39" spans="1:24" hidden="1"/>
    <row r="40" spans="1:24" hidden="1"/>
    <row r="41" spans="1:24" hidden="1"/>
    <row r="42" spans="1:24" hidden="1"/>
    <row r="43" spans="1:24" hidden="1"/>
    <row r="44" spans="1:24" hidden="1"/>
    <row r="45" spans="1:24" hidden="1"/>
    <row r="46" spans="1:24" hidden="1"/>
    <row r="47" spans="1:24" hidden="1"/>
    <row r="48" spans="1:2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</sheetData>
  <sheetProtection selectLockedCells="1"/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6" orientation="landscape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N71"/>
  <sheetViews>
    <sheetView zoomScale="70" zoomScaleNormal="70" workbookViewId="0">
      <selection activeCell="B8" sqref="B8"/>
    </sheetView>
  </sheetViews>
  <sheetFormatPr defaultColWidth="0" defaultRowHeight="15" customHeight="1" zeroHeight="1"/>
  <cols>
    <col min="1" max="1" width="9.77734375" style="33" customWidth="1"/>
    <col min="2" max="2" width="45.109375" style="33" bestFit="1" customWidth="1"/>
    <col min="3" max="22" width="5.77734375" style="33" customWidth="1"/>
    <col min="23" max="23" width="8.77734375" style="33" customWidth="1"/>
    <col min="24" max="24" width="1.77734375" style="33" customWidth="1"/>
    <col min="25" max="248" width="8.88671875" style="34" hidden="1" customWidth="1"/>
    <col min="249" max="16384" width="0" style="34" hidden="1"/>
  </cols>
  <sheetData>
    <row r="1" spans="1:24" ht="30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4" s="38" customFormat="1" ht="18">
      <c r="A2" s="35" t="s">
        <v>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  <c r="X2" s="37"/>
    </row>
    <row r="3" spans="1:24" s="38" customFormat="1" ht="18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s="40" customForma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40" customFormat="1">
      <c r="A5" s="41" t="s">
        <v>146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2" t="s">
        <v>145</v>
      </c>
      <c r="X5" s="39"/>
    </row>
    <row r="6" spans="1:24" s="40" customFormat="1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s="40" customFormat="1" ht="35.1" customHeight="1" thickBot="1">
      <c r="A7" s="43" t="s">
        <v>0</v>
      </c>
      <c r="B7" s="44" t="s">
        <v>75</v>
      </c>
      <c r="C7" s="44" t="s">
        <v>54</v>
      </c>
      <c r="D7" s="44" t="s">
        <v>55</v>
      </c>
      <c r="E7" s="44" t="s">
        <v>56</v>
      </c>
      <c r="F7" s="44" t="s">
        <v>57</v>
      </c>
      <c r="G7" s="44" t="s">
        <v>58</v>
      </c>
      <c r="H7" s="44" t="s">
        <v>59</v>
      </c>
      <c r="I7" s="44" t="s">
        <v>60</v>
      </c>
      <c r="J7" s="44" t="s">
        <v>61</v>
      </c>
      <c r="K7" s="44" t="s">
        <v>63</v>
      </c>
      <c r="L7" s="44" t="s">
        <v>64</v>
      </c>
      <c r="M7" s="44" t="s">
        <v>65</v>
      </c>
      <c r="N7" s="44" t="s">
        <v>66</v>
      </c>
      <c r="O7" s="44" t="s">
        <v>67</v>
      </c>
      <c r="P7" s="44" t="s">
        <v>68</v>
      </c>
      <c r="Q7" s="44" t="s">
        <v>69</v>
      </c>
      <c r="R7" s="44" t="s">
        <v>70</v>
      </c>
      <c r="S7" s="44" t="s">
        <v>71</v>
      </c>
      <c r="T7" s="44" t="s">
        <v>72</v>
      </c>
      <c r="U7" s="44" t="s">
        <v>73</v>
      </c>
      <c r="V7" s="44" t="s">
        <v>74</v>
      </c>
      <c r="W7" s="46" t="s">
        <v>13</v>
      </c>
      <c r="X7" s="39"/>
    </row>
    <row r="8" spans="1:24" s="40" customFormat="1" ht="20.100000000000001" customHeight="1">
      <c r="A8" s="47">
        <v>1</v>
      </c>
      <c r="B8" s="28" t="s">
        <v>153</v>
      </c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0"/>
      <c r="S8" s="50"/>
      <c r="T8" s="50"/>
      <c r="U8" s="50"/>
      <c r="V8" s="50"/>
      <c r="W8" s="56"/>
      <c r="X8" s="39"/>
    </row>
    <row r="9" spans="1:24" s="40" customFormat="1" ht="20.100000000000001" customHeight="1">
      <c r="A9" s="48">
        <v>2</v>
      </c>
      <c r="B9" s="28" t="s">
        <v>154</v>
      </c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7"/>
      <c r="X9" s="39"/>
    </row>
    <row r="10" spans="1:24" s="40" customFormat="1" ht="20.100000000000001" customHeight="1">
      <c r="A10" s="48">
        <v>3</v>
      </c>
      <c r="B10" s="28" t="s">
        <v>155</v>
      </c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7"/>
      <c r="X10" s="39"/>
    </row>
    <row r="11" spans="1:24" s="40" customFormat="1" ht="20.100000000000001" customHeight="1">
      <c r="A11" s="48">
        <v>4</v>
      </c>
      <c r="B11" s="28" t="s">
        <v>156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7"/>
      <c r="X11" s="39"/>
    </row>
    <row r="12" spans="1:24" s="40" customFormat="1" ht="20.100000000000001" customHeight="1">
      <c r="A12" s="48">
        <v>5</v>
      </c>
      <c r="B12" s="28" t="s">
        <v>157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7"/>
      <c r="X12" s="39"/>
    </row>
    <row r="13" spans="1:24" s="40" customFormat="1" ht="20.100000000000001" customHeight="1">
      <c r="A13" s="48">
        <v>6</v>
      </c>
      <c r="B13" s="28" t="s">
        <v>158</v>
      </c>
      <c r="C13" s="5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7"/>
      <c r="X13" s="39"/>
    </row>
    <row r="14" spans="1:24" s="40" customFormat="1" ht="20.100000000000001" customHeight="1">
      <c r="A14" s="48">
        <v>7</v>
      </c>
      <c r="B14" s="28" t="s">
        <v>159</v>
      </c>
      <c r="C14" s="5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7"/>
      <c r="X14" s="39"/>
    </row>
    <row r="15" spans="1:24" s="40" customFormat="1" ht="20.100000000000001" customHeight="1">
      <c r="A15" s="48">
        <v>8</v>
      </c>
      <c r="B15" s="28" t="s">
        <v>160</v>
      </c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7"/>
      <c r="X15" s="39"/>
    </row>
    <row r="16" spans="1:24" s="40" customFormat="1" ht="20.100000000000001" customHeight="1">
      <c r="A16" s="48">
        <v>9</v>
      </c>
      <c r="B16" s="28" t="s">
        <v>161</v>
      </c>
      <c r="C16" s="5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7"/>
      <c r="X16" s="39"/>
    </row>
    <row r="17" spans="1:24" s="40" customFormat="1" ht="20.100000000000001" customHeight="1">
      <c r="A17" s="48">
        <v>10</v>
      </c>
      <c r="B17" s="28" t="s">
        <v>162</v>
      </c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60"/>
      <c r="X17" s="39"/>
    </row>
    <row r="18" spans="1:24" s="40" customFormat="1" ht="20.100000000000001" customHeight="1">
      <c r="A18" s="48">
        <v>11</v>
      </c>
      <c r="B18" s="28" t="s">
        <v>163</v>
      </c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7"/>
      <c r="X18" s="39"/>
    </row>
    <row r="19" spans="1:24" s="40" customFormat="1" ht="20.100000000000001" customHeight="1">
      <c r="A19" s="48">
        <v>12</v>
      </c>
      <c r="B19" s="28" t="s">
        <v>164</v>
      </c>
      <c r="C19" s="5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7"/>
      <c r="X19" s="39"/>
    </row>
    <row r="20" spans="1:24" s="40" customFormat="1" ht="20.100000000000001" customHeight="1">
      <c r="A20" s="48">
        <v>13</v>
      </c>
      <c r="B20" s="28" t="s">
        <v>165</v>
      </c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7"/>
      <c r="X20" s="39"/>
    </row>
    <row r="21" spans="1:24" s="40" customFormat="1" ht="20.100000000000001" customHeight="1">
      <c r="A21" s="48">
        <v>14</v>
      </c>
      <c r="B21" s="28" t="s">
        <v>166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7"/>
      <c r="X21" s="39"/>
    </row>
    <row r="22" spans="1:24" s="40" customFormat="1" ht="20.100000000000001" customHeight="1">
      <c r="A22" s="48">
        <v>15</v>
      </c>
      <c r="B22" s="28" t="s">
        <v>167</v>
      </c>
      <c r="C22" s="5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7"/>
      <c r="X22" s="39"/>
    </row>
    <row r="23" spans="1:24" s="40" customFormat="1" ht="20.100000000000001" customHeight="1">
      <c r="A23" s="48">
        <v>16</v>
      </c>
      <c r="B23" s="28" t="s">
        <v>168</v>
      </c>
      <c r="C23" s="5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7"/>
      <c r="X23" s="39"/>
    </row>
    <row r="24" spans="1:24" s="40" customFormat="1" ht="20.100000000000001" customHeight="1">
      <c r="A24" s="48">
        <v>17</v>
      </c>
      <c r="B24" s="28" t="s">
        <v>169</v>
      </c>
      <c r="C24" s="5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7"/>
      <c r="X24" s="39"/>
    </row>
    <row r="25" spans="1:24" s="40" customFormat="1" ht="20.100000000000001" customHeight="1">
      <c r="A25" s="48">
        <v>18</v>
      </c>
      <c r="B25" s="28" t="s">
        <v>170</v>
      </c>
      <c r="C25" s="52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7"/>
      <c r="X25" s="39"/>
    </row>
    <row r="26" spans="1:24" s="40" customFormat="1" ht="20.100000000000001" customHeight="1">
      <c r="A26" s="48">
        <v>19</v>
      </c>
      <c r="B26" s="28" t="s">
        <v>171</v>
      </c>
      <c r="C26" s="5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7"/>
      <c r="X26" s="39"/>
    </row>
    <row r="27" spans="1:24" s="40" customFormat="1" ht="20.100000000000001" customHeight="1">
      <c r="A27" s="48">
        <v>20</v>
      </c>
      <c r="B27" s="28" t="s">
        <v>172</v>
      </c>
      <c r="C27" s="5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7"/>
      <c r="X27" s="39"/>
    </row>
    <row r="28" spans="1:24" s="40" customFormat="1" ht="20.100000000000001" customHeight="1">
      <c r="A28" s="48">
        <v>21</v>
      </c>
      <c r="B28" s="28" t="s">
        <v>173</v>
      </c>
      <c r="C28" s="5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7"/>
      <c r="X28" s="39"/>
    </row>
    <row r="29" spans="1:24" s="40" customFormat="1" ht="20.100000000000001" customHeight="1">
      <c r="A29" s="48">
        <v>22</v>
      </c>
      <c r="B29" s="28" t="s">
        <v>174</v>
      </c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7"/>
      <c r="X29" s="39"/>
    </row>
    <row r="30" spans="1:24" s="40" customFormat="1" ht="20.100000000000001" customHeight="1">
      <c r="A30" s="48">
        <v>23</v>
      </c>
      <c r="B30" s="28" t="str">
        <f>IF(VLOOKUP(A30,'STARTOVNÍ LISTINA'!$A$8:$E$37,2,0)=0,"",CONCATENATE(VLOOKUP(A30,'STARTOVNÍ LISTINA'!$A$8:$E$37,2,0)," (",VLOOKUP(A30,'STARTOVNÍ LISTINA'!$A$8:$E$37,3,0),")"))</f>
        <v/>
      </c>
      <c r="C30" s="52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7"/>
      <c r="X30" s="39"/>
    </row>
    <row r="31" spans="1:24" s="40" customFormat="1" ht="20.100000000000001" customHeight="1">
      <c r="A31" s="48">
        <v>24</v>
      </c>
      <c r="B31" s="28" t="str">
        <f>IF(VLOOKUP(A31,'STARTOVNÍ LISTINA'!$A$8:$E$37,2,0)=0,"",CONCATENATE(VLOOKUP(A31,'STARTOVNÍ LISTINA'!$A$8:$E$37,2,0)," (",VLOOKUP(A31,'STARTOVNÍ LISTINA'!$A$8:$E$37,3,0),")"))</f>
        <v/>
      </c>
      <c r="C31" s="52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7"/>
      <c r="X31" s="39"/>
    </row>
    <row r="32" spans="1:24" s="40" customFormat="1" ht="20.100000000000001" customHeight="1">
      <c r="A32" s="48">
        <v>25</v>
      </c>
      <c r="B32" s="28" t="str">
        <f>IF(VLOOKUP(A32,'STARTOVNÍ LISTINA'!$A$8:$E$37,2,0)=0,"",CONCATENATE(VLOOKUP(A32,'STARTOVNÍ LISTINA'!$A$8:$E$37,2,0)," (",VLOOKUP(A32,'STARTOVNÍ LISTINA'!$A$8:$E$37,3,0),")"))</f>
        <v/>
      </c>
      <c r="C32" s="5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7"/>
      <c r="X32" s="39"/>
    </row>
    <row r="33" spans="1:24" s="40" customFormat="1" ht="20.100000000000001" customHeight="1">
      <c r="A33" s="48">
        <v>26</v>
      </c>
      <c r="B33" s="28" t="str">
        <f>IF(VLOOKUP(A33,'STARTOVNÍ LISTINA'!$A$8:$E$37,2,0)=0,"",CONCATENATE(VLOOKUP(A33,'STARTOVNÍ LISTINA'!$A$8:$E$37,2,0)," (",VLOOKUP(A33,'STARTOVNÍ LISTINA'!$A$8:$E$37,3,0),")"))</f>
        <v/>
      </c>
      <c r="C33" s="5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7"/>
      <c r="X33" s="39"/>
    </row>
    <row r="34" spans="1:24" s="40" customFormat="1" ht="20.100000000000001" customHeight="1">
      <c r="A34" s="48">
        <v>27</v>
      </c>
      <c r="B34" s="28" t="str">
        <f>IF(VLOOKUP(A34,'STARTOVNÍ LISTINA'!$A$8:$E$37,2,0)=0,"",CONCATENATE(VLOOKUP(A34,'STARTOVNÍ LISTINA'!$A$8:$E$37,2,0)," (",VLOOKUP(A34,'STARTOVNÍ LISTINA'!$A$8:$E$37,3,0),")"))</f>
        <v/>
      </c>
      <c r="C34" s="5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7"/>
      <c r="X34" s="39"/>
    </row>
    <row r="35" spans="1:24" s="40" customFormat="1" ht="20.100000000000001" customHeight="1">
      <c r="A35" s="48">
        <v>28</v>
      </c>
      <c r="B35" s="28" t="str">
        <f>IF(VLOOKUP(A35,'STARTOVNÍ LISTINA'!$A$8:$E$37,2,0)=0,"",CONCATENATE(VLOOKUP(A35,'STARTOVNÍ LISTINA'!$A$8:$E$37,2,0)," (",VLOOKUP(A35,'STARTOVNÍ LISTINA'!$A$8:$E$37,3,0),")"))</f>
        <v/>
      </c>
      <c r="C35" s="52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7"/>
      <c r="X35" s="39"/>
    </row>
    <row r="36" spans="1:24" s="40" customFormat="1" ht="20.100000000000001" customHeight="1">
      <c r="A36" s="48">
        <v>29</v>
      </c>
      <c r="B36" s="28" t="str">
        <f>IF(VLOOKUP(A36,'STARTOVNÍ LISTINA'!$A$8:$E$37,2,0)=0,"",CONCATENATE(VLOOKUP(A36,'STARTOVNÍ LISTINA'!$A$8:$E$37,2,0)," (",VLOOKUP(A36,'STARTOVNÍ LISTINA'!$A$8:$E$37,3,0),")"))</f>
        <v/>
      </c>
      <c r="C36" s="5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7"/>
      <c r="X36" s="39"/>
    </row>
    <row r="37" spans="1:24" s="40" customFormat="1" ht="20.100000000000001" customHeight="1" thickBot="1">
      <c r="A37" s="49">
        <v>30</v>
      </c>
      <c r="B37" s="29" t="str">
        <f>IF(VLOOKUP(A37,'STARTOVNÍ LISTINA'!$A$8:$E$37,2,0)=0,"",CONCATENATE(VLOOKUP(A37,'STARTOVNÍ LISTINA'!$A$8:$E$37,2,0)," (",VLOOKUP(A37,'STARTOVNÍ LISTINA'!$A$8:$E$37,3,0),")"))</f>
        <v/>
      </c>
      <c r="C37" s="53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39"/>
    </row>
    <row r="38" spans="1:24">
      <c r="W38" s="146" t="s">
        <v>31</v>
      </c>
    </row>
    <row r="39" spans="1:24" hidden="1"/>
    <row r="40" spans="1:24" hidden="1"/>
    <row r="41" spans="1:24" hidden="1"/>
    <row r="42" spans="1:24" hidden="1"/>
    <row r="43" spans="1:24" hidden="1"/>
    <row r="44" spans="1:24" hidden="1"/>
    <row r="45" spans="1:24" hidden="1"/>
    <row r="46" spans="1:24" hidden="1"/>
    <row r="47" spans="1:24" hidden="1"/>
    <row r="48" spans="1:2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</sheetData>
  <sheetProtection selectLockedCells="1"/>
  <printOptions horizontalCentered="1"/>
  <pageMargins left="0.39370078740157483" right="0.39370078740157483" top="0.39370078740157483" bottom="0.39370078740157483" header="0.19685039370078741" footer="0.19685039370078741"/>
  <pageSetup paperSize="9" scale="66" orientation="landscape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B65536"/>
  <sheetViews>
    <sheetView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8" sqref="A8"/>
    </sheetView>
  </sheetViews>
  <sheetFormatPr defaultRowHeight="15" zeroHeight="1"/>
  <cols>
    <col min="1" max="1" width="7.77734375" style="1" customWidth="1"/>
    <col min="2" max="2" width="22.44140625" style="1" bestFit="1" customWidth="1"/>
    <col min="3" max="3" width="11.44140625" style="1" bestFit="1" customWidth="1"/>
    <col min="4" max="4" width="20.77734375" style="1" customWidth="1"/>
    <col min="5" max="5" width="8.44140625" style="1" bestFit="1" customWidth="1"/>
    <col min="6" max="7" width="3.21875" style="1" bestFit="1" customWidth="1"/>
    <col min="8" max="11" width="2.77734375" style="1" customWidth="1"/>
    <col min="12" max="13" width="5.77734375" style="1" customWidth="1"/>
    <col min="14" max="14" width="11.44140625" style="1" bestFit="1" customWidth="1"/>
    <col min="15" max="15" width="3.21875" style="1" bestFit="1" customWidth="1"/>
    <col min="16" max="20" width="2.77734375" style="1" customWidth="1"/>
    <col min="21" max="22" width="5.77734375" style="1" customWidth="1"/>
    <col min="23" max="23" width="1.21875" style="1" customWidth="1"/>
    <col min="24" max="24" width="8.88671875" style="1"/>
    <col min="25" max="25" width="1.21875" style="1" customWidth="1"/>
    <col min="26" max="26" width="7.77734375" style="1" customWidth="1"/>
    <col min="27" max="27" width="1.77734375" style="1" customWidth="1"/>
    <col min="28" max="28" width="7.77734375" style="1" customWidth="1"/>
    <col min="29" max="29" width="8.77734375" style="1" customWidth="1"/>
    <col min="30" max="30" width="5.109375" style="1" customWidth="1"/>
    <col min="31" max="31" width="6.77734375" style="1" customWidth="1"/>
    <col min="32" max="33" width="5.109375" style="1" customWidth="1"/>
    <col min="34" max="34" width="1.77734375" style="1" customWidth="1"/>
    <col min="35" max="35" width="2.77734375" style="1" customWidth="1"/>
    <col min="36" max="36" width="6.6640625" style="1" bestFit="1" customWidth="1"/>
    <col min="37" max="37" width="2.77734375" style="1" customWidth="1"/>
    <col min="38" max="38" width="6.6640625" style="1" bestFit="1" customWidth="1"/>
    <col min="39" max="40" width="2.77734375" style="1" customWidth="1"/>
    <col min="41" max="41" width="1.77734375" style="1" customWidth="1"/>
    <col min="42" max="42" width="8.44140625" style="1" bestFit="1" customWidth="1"/>
    <col min="43" max="43" width="5.109375" style="1" customWidth="1"/>
    <col min="44" max="44" width="9" style="1" bestFit="1" customWidth="1"/>
    <col min="45" max="45" width="5.109375" style="1" customWidth="1"/>
    <col min="46" max="46" width="1.77734375" style="1" customWidth="1"/>
    <col min="47" max="47" width="2.77734375" style="1" customWidth="1"/>
    <col min="48" max="48" width="6.6640625" style="1" bestFit="1" customWidth="1"/>
    <col min="49" max="50" width="2.77734375" style="1" customWidth="1"/>
    <col min="51" max="51" width="1.77734375" style="1" customWidth="1"/>
    <col min="52" max="53" width="7.5546875" style="1" bestFit="1" customWidth="1"/>
    <col min="54" max="54" width="6.33203125" style="1" bestFit="1" customWidth="1"/>
    <col min="55" max="55" width="6.5546875" style="134" bestFit="1" customWidth="1"/>
    <col min="56" max="56" width="9.5546875" style="1" bestFit="1" customWidth="1"/>
    <col min="57" max="57" width="4.109375" style="1" customWidth="1"/>
    <col min="58" max="58" width="22.44140625" style="134" bestFit="1" customWidth="1"/>
    <col min="59" max="59" width="6.6640625" style="1" bestFit="1" customWidth="1"/>
    <col min="60" max="60" width="5.44140625" style="1" bestFit="1" customWidth="1"/>
    <col min="61" max="61" width="4.33203125" style="1" bestFit="1" customWidth="1"/>
    <col min="62" max="62" width="6.6640625" style="1" bestFit="1" customWidth="1"/>
    <col min="63" max="63" width="5.44140625" style="1" bestFit="1" customWidth="1"/>
    <col min="64" max="64" width="4.33203125" style="1" bestFit="1" customWidth="1"/>
    <col min="65" max="65" width="6.88671875" style="1" bestFit="1" customWidth="1"/>
    <col min="66" max="66" width="8.88671875" style="1"/>
    <col min="67" max="67" width="3.77734375" style="1" customWidth="1"/>
    <col min="68" max="68" width="8.109375" style="1" bestFit="1" customWidth="1"/>
    <col min="69" max="69" width="3.33203125" style="1" bestFit="1" customWidth="1"/>
    <col min="70" max="70" width="20.5546875" style="1" bestFit="1" customWidth="1"/>
    <col min="71" max="71" width="10.44140625" style="1" bestFit="1" customWidth="1"/>
    <col min="72" max="72" width="20.88671875" style="1" bestFit="1" customWidth="1"/>
    <col min="73" max="16384" width="8.88671875" style="1"/>
  </cols>
  <sheetData>
    <row r="1" spans="1:80" s="3" customFormat="1" ht="25.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6"/>
      <c r="Y1" s="7"/>
      <c r="BC1" s="132"/>
      <c r="BF1" s="132"/>
    </row>
    <row r="2" spans="1:80" s="2" customFormat="1" ht="18">
      <c r="A2" s="8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9"/>
      <c r="Y2" s="10"/>
      <c r="BC2" s="133"/>
      <c r="BF2" s="133"/>
    </row>
    <row r="3" spans="1:80" s="2" customFormat="1" ht="18">
      <c r="A3" s="8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9"/>
      <c r="Y3" s="10"/>
      <c r="BC3" s="133"/>
      <c r="BF3" s="133"/>
    </row>
    <row r="4" spans="1:80" s="4" customFormat="1" ht="13.5" thickBot="1">
      <c r="A4" s="11" t="s">
        <v>147</v>
      </c>
      <c r="B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287" t="s">
        <v>149</v>
      </c>
      <c r="Y4" s="11"/>
      <c r="BC4" s="131"/>
      <c r="BF4" s="131"/>
    </row>
    <row r="5" spans="1:80" s="5" customFormat="1" ht="12.75" customHeight="1">
      <c r="A5" s="302" t="s">
        <v>0</v>
      </c>
      <c r="B5" s="305" t="s">
        <v>1</v>
      </c>
      <c r="C5" s="305" t="s">
        <v>2</v>
      </c>
      <c r="D5" s="308" t="s">
        <v>3</v>
      </c>
      <c r="E5" s="212" t="s">
        <v>78</v>
      </c>
      <c r="F5" s="111"/>
      <c r="G5" s="111"/>
      <c r="H5" s="111"/>
      <c r="I5" s="111"/>
      <c r="J5" s="111"/>
      <c r="K5" s="111"/>
      <c r="L5" s="111"/>
      <c r="M5" s="213"/>
      <c r="N5" s="212" t="s">
        <v>80</v>
      </c>
      <c r="O5" s="111"/>
      <c r="P5" s="111"/>
      <c r="Q5" s="111"/>
      <c r="R5" s="111"/>
      <c r="S5" s="111"/>
      <c r="T5" s="111"/>
      <c r="U5" s="111"/>
      <c r="V5" s="213"/>
      <c r="W5" s="15"/>
      <c r="X5" s="299" t="s">
        <v>9</v>
      </c>
      <c r="Y5" s="15"/>
      <c r="Z5" s="299" t="s">
        <v>0</v>
      </c>
      <c r="AB5" s="299" t="s">
        <v>53</v>
      </c>
      <c r="AC5" s="98" t="s">
        <v>4</v>
      </c>
      <c r="AD5" s="99"/>
      <c r="AE5" s="99"/>
      <c r="AF5" s="99"/>
      <c r="AG5" s="99"/>
      <c r="AI5" s="110" t="s">
        <v>33</v>
      </c>
      <c r="AJ5" s="111"/>
      <c r="AK5" s="111"/>
      <c r="AL5" s="111"/>
      <c r="AM5" s="111"/>
      <c r="AN5" s="112"/>
      <c r="AP5" s="98" t="s">
        <v>7</v>
      </c>
      <c r="AQ5" s="99"/>
      <c r="AR5" s="99"/>
      <c r="AS5" s="99"/>
      <c r="AU5" s="110" t="s">
        <v>32</v>
      </c>
      <c r="AV5" s="111"/>
      <c r="AW5" s="111"/>
      <c r="AX5" s="112"/>
      <c r="AZ5" s="163" t="s">
        <v>45</v>
      </c>
      <c r="BA5" s="164"/>
      <c r="BB5" s="164"/>
      <c r="BC5" s="164"/>
      <c r="BD5" s="164"/>
      <c r="BE5" s="165"/>
      <c r="BF5" s="166"/>
      <c r="BG5" s="164"/>
      <c r="BH5" s="167"/>
      <c r="BI5" s="164"/>
      <c r="BJ5" s="164"/>
      <c r="BK5" s="164"/>
      <c r="BL5" s="164"/>
      <c r="BM5" s="164"/>
      <c r="BO5" s="163" t="s">
        <v>46</v>
      </c>
      <c r="BP5" s="164"/>
      <c r="BQ5" s="164"/>
      <c r="BR5" s="164"/>
      <c r="BS5" s="164"/>
      <c r="BT5" s="164"/>
    </row>
    <row r="6" spans="1:80" s="5" customFormat="1" ht="12.75">
      <c r="A6" s="303"/>
      <c r="B6" s="306"/>
      <c r="C6" s="306"/>
      <c r="D6" s="309"/>
      <c r="E6" s="270"/>
      <c r="F6" s="214"/>
      <c r="G6" s="214"/>
      <c r="H6" s="214"/>
      <c r="I6" s="214"/>
      <c r="J6" s="214"/>
      <c r="K6" s="214"/>
      <c r="L6" s="215" t="s">
        <v>79</v>
      </c>
      <c r="M6" s="216">
        <v>2.3726851851851851E-3</v>
      </c>
      <c r="N6" s="270"/>
      <c r="O6" s="214"/>
      <c r="P6" s="214"/>
      <c r="Q6" s="214"/>
      <c r="R6" s="214"/>
      <c r="S6" s="214"/>
      <c r="T6" s="214"/>
      <c r="U6" s="215" t="s">
        <v>79</v>
      </c>
      <c r="V6" s="216">
        <v>1.736111111111111E-3</v>
      </c>
      <c r="W6" s="15"/>
      <c r="X6" s="300"/>
      <c r="Y6" s="15"/>
      <c r="Z6" s="300"/>
      <c r="AB6" s="300"/>
      <c r="AC6" s="100" t="s">
        <v>24</v>
      </c>
      <c r="AD6" s="101"/>
      <c r="AE6" s="101"/>
      <c r="AF6" s="101"/>
      <c r="AG6" s="101"/>
      <c r="AI6" s="114" t="str">
        <f>AC6</f>
        <v>SKOKOVÉ DERBY</v>
      </c>
      <c r="AJ6" s="115"/>
      <c r="AK6" s="115"/>
      <c r="AL6" s="115"/>
      <c r="AM6" s="115"/>
      <c r="AN6" s="116"/>
      <c r="AP6" s="100" t="s">
        <v>8</v>
      </c>
      <c r="AQ6" s="101"/>
      <c r="AR6" s="101"/>
      <c r="AS6" s="101"/>
      <c r="AU6" s="114" t="str">
        <f>AP6</f>
        <v>POLICEJNÍ PARKUR</v>
      </c>
      <c r="AV6" s="115"/>
      <c r="AW6" s="115"/>
      <c r="AX6" s="116"/>
      <c r="AZ6" s="168" t="s">
        <v>52</v>
      </c>
      <c r="BA6" s="170"/>
      <c r="BB6" s="170"/>
      <c r="BC6" s="170"/>
      <c r="BD6" s="170"/>
      <c r="BE6" s="171"/>
      <c r="BF6" s="171"/>
      <c r="BG6" s="151"/>
      <c r="BH6" s="152"/>
      <c r="BI6" s="151"/>
      <c r="BJ6" s="151"/>
      <c r="BK6" s="151"/>
      <c r="BL6" s="151"/>
      <c r="BM6" s="151"/>
      <c r="BO6" s="168" t="s">
        <v>47</v>
      </c>
      <c r="BP6" s="151"/>
      <c r="BQ6" s="151"/>
      <c r="BR6" s="151"/>
      <c r="BS6" s="151"/>
      <c r="BT6" s="151"/>
    </row>
    <row r="7" spans="1:80" s="5" customFormat="1" ht="13.5" thickBot="1">
      <c r="A7" s="304"/>
      <c r="B7" s="307"/>
      <c r="C7" s="307"/>
      <c r="D7" s="310"/>
      <c r="E7" s="89" t="s">
        <v>5</v>
      </c>
      <c r="F7" s="92" t="s">
        <v>25</v>
      </c>
      <c r="G7" s="121"/>
      <c r="H7" s="83"/>
      <c r="I7" s="83"/>
      <c r="J7" s="83"/>
      <c r="K7" s="83"/>
      <c r="L7" s="126" t="s">
        <v>140</v>
      </c>
      <c r="M7" s="84" t="s">
        <v>12</v>
      </c>
      <c r="N7" s="19" t="s">
        <v>5</v>
      </c>
      <c r="O7" s="92" t="s">
        <v>25</v>
      </c>
      <c r="P7" s="92"/>
      <c r="Q7" s="83"/>
      <c r="R7" s="83"/>
      <c r="S7" s="83"/>
      <c r="T7" s="83"/>
      <c r="U7" s="86" t="s">
        <v>140</v>
      </c>
      <c r="V7" s="21" t="s">
        <v>12</v>
      </c>
      <c r="W7" s="15"/>
      <c r="X7" s="301"/>
      <c r="Y7" s="15"/>
      <c r="Z7" s="301"/>
      <c r="AB7" s="301"/>
      <c r="AC7" s="105" t="s">
        <v>132</v>
      </c>
      <c r="AD7" s="123" t="s">
        <v>136</v>
      </c>
      <c r="AE7" s="123" t="s">
        <v>135</v>
      </c>
      <c r="AF7" s="123" t="s">
        <v>137</v>
      </c>
      <c r="AG7" s="102" t="s">
        <v>26</v>
      </c>
      <c r="AI7" s="117" t="s">
        <v>134</v>
      </c>
      <c r="AJ7" s="118" t="s">
        <v>133</v>
      </c>
      <c r="AK7" s="118" t="s">
        <v>34</v>
      </c>
      <c r="AL7" s="118" t="s">
        <v>6</v>
      </c>
      <c r="AM7" s="118" t="s">
        <v>34</v>
      </c>
      <c r="AN7" s="119" t="s">
        <v>134</v>
      </c>
      <c r="AP7" s="105" t="s">
        <v>5</v>
      </c>
      <c r="AQ7" s="106" t="s">
        <v>6</v>
      </c>
      <c r="AR7" s="123"/>
      <c r="AS7" s="102" t="s">
        <v>26</v>
      </c>
      <c r="AU7" s="117" t="s">
        <v>34</v>
      </c>
      <c r="AV7" s="118" t="s">
        <v>35</v>
      </c>
      <c r="AW7" s="118" t="s">
        <v>36</v>
      </c>
      <c r="AX7" s="119" t="s">
        <v>34</v>
      </c>
      <c r="AZ7" s="172" t="s">
        <v>27</v>
      </c>
      <c r="BA7" s="172" t="s">
        <v>28</v>
      </c>
      <c r="BB7" s="172" t="s">
        <v>29</v>
      </c>
      <c r="BC7" s="172" t="s">
        <v>44</v>
      </c>
      <c r="BD7" s="172" t="s">
        <v>12</v>
      </c>
      <c r="BE7" s="173"/>
      <c r="BF7" s="158"/>
      <c r="BG7" s="158" t="s">
        <v>37</v>
      </c>
      <c r="BH7" s="159" t="s">
        <v>38</v>
      </c>
      <c r="BI7" s="158" t="s">
        <v>39</v>
      </c>
      <c r="BJ7" s="160" t="s">
        <v>40</v>
      </c>
      <c r="BK7" s="161" t="s">
        <v>41</v>
      </c>
      <c r="BL7" s="160" t="s">
        <v>42</v>
      </c>
      <c r="BM7" s="162" t="s">
        <v>43</v>
      </c>
      <c r="BO7" s="169" t="s">
        <v>48</v>
      </c>
      <c r="BP7" s="169" t="s">
        <v>27</v>
      </c>
      <c r="BQ7" s="169" t="s">
        <v>26</v>
      </c>
      <c r="BR7" s="169" t="s">
        <v>49</v>
      </c>
      <c r="BS7" s="169" t="s">
        <v>50</v>
      </c>
      <c r="BT7" s="169" t="s">
        <v>51</v>
      </c>
      <c r="BV7" s="297" t="s">
        <v>176</v>
      </c>
    </row>
    <row r="8" spans="1:80" s="4" customFormat="1" ht="12.95" customHeight="1">
      <c r="A8" s="22">
        <v>1</v>
      </c>
      <c r="B8" s="23" t="str">
        <f>IF(VLOOKUP($A8,'STARTOVNÍ LISTINA'!$A$8:$E$37,2,0)="","",VLOOKUP($A8,'STARTOVNÍ LISTINA'!$A$8:$E$37,2,0))</f>
        <v>SLEZÁK Michal, nstržm. Ing.</v>
      </c>
      <c r="C8" s="54" t="str">
        <f>IF(VLOOKUP($A8,'STARTOVNÍ LISTINA'!$A$8:$E$37,3,0)="","",VLOOKUP($A8,'STARTOVNÍ LISTINA'!$A$8:$E$37,3,0))</f>
        <v>ENRICO</v>
      </c>
      <c r="D8" s="54" t="str">
        <f>IF(VLOOKUP($A8,'STARTOVNÍ LISTINA'!$A$8:$E$37,4,0)="","",VLOOKUP($A8,'STARTOVNÍ LISTINA'!$A$8:$E$37,4,0))</f>
        <v>KŘP Jihomoravského kraje</v>
      </c>
      <c r="E8" s="90">
        <v>2.3578703703703704E-3</v>
      </c>
      <c r="F8" s="127">
        <f t="shared" ref="F8:F18" si="0">IF(E8="–",0,IF(E8&gt;$M$6,CEILING((E8-$M$6)*86400,1),0))</f>
        <v>0</v>
      </c>
      <c r="G8" s="277">
        <v>5</v>
      </c>
      <c r="H8" s="278"/>
      <c r="I8" s="278"/>
      <c r="J8" s="278"/>
      <c r="K8" s="279"/>
      <c r="L8" s="87">
        <f t="shared" ref="L8:L37" si="1">SUM(F8:K8)</f>
        <v>5</v>
      </c>
      <c r="M8" s="85">
        <f ca="1">IF(E8="","",AF8)</f>
        <v>3</v>
      </c>
      <c r="N8" s="90">
        <v>1.3516203703703704E-3</v>
      </c>
      <c r="O8" s="127">
        <f>IF(N8="–",0,IF(N8&gt;$V$6,TRUNC((N8-$V$6)*86400),0))</f>
        <v>0</v>
      </c>
      <c r="P8" s="93"/>
      <c r="Q8" s="81"/>
      <c r="R8" s="81"/>
      <c r="S8" s="81"/>
      <c r="T8" s="81"/>
      <c r="U8" s="87">
        <f>SUM(O8:T8)</f>
        <v>0</v>
      </c>
      <c r="V8" s="85">
        <f t="shared" ref="V8:V37" si="2">IF(N8="–","ELIM",IF(ISERROR(VLOOKUP($A8,$AW$8:$AX$37,2,0))=TRUE,"",IF(N8="–","ELIM",VLOOKUP($A8,$AW$8:$AX$37,2,0))))</f>
        <v>4</v>
      </c>
      <c r="W8" s="11"/>
      <c r="X8" s="263">
        <f t="shared" ref="X8:X37" ca="1" si="3">IF(ISERROR(VLOOKUP(A8,$BE$8:$BM$37,9,0))=TRUE,"",VLOOKUP(A8,$BE$8:$BM$37,9,0))</f>
        <v>2</v>
      </c>
      <c r="Y8" s="11"/>
      <c r="Z8" s="95">
        <v>1</v>
      </c>
      <c r="AB8" s="95" t="str">
        <f>IF(VLOOKUP(A8,'STARTOVNÍ LISTINA'!$A$8:$E$37,5,0)="POL","ANO","")</f>
        <v/>
      </c>
      <c r="AC8" s="259">
        <f ca="1">IF(E8="","",IF(E8="–",0.014+RAND(),IF(E8&lt;=$M$6,ABS(E8-$M$6),ABS(E8-$M$6-0.0007))))</f>
        <v>1.4814814814814725E-5</v>
      </c>
      <c r="AD8" s="266">
        <f ca="1">IF(AC8="","",VLOOKUP(AI8,$AK$8:AN$37,4,0))</f>
        <v>1</v>
      </c>
      <c r="AE8" s="267">
        <f ca="1">IF(E8="","",IF(E8="–",1000+SUM(F8:K8)+(AD8/100),SUM(F8:K8)+(AD8/100)))</f>
        <v>5.01</v>
      </c>
      <c r="AF8" s="266">
        <f ca="1">IF(E8="","",IF(E8="–","ELIM",VLOOKUP(AE8,$AL$8:$AN$37,3,0)))</f>
        <v>3</v>
      </c>
      <c r="AG8" s="103">
        <f t="shared" ref="AG8:AG37" si="4">A8</f>
        <v>1</v>
      </c>
      <c r="AI8" s="22">
        <v>1</v>
      </c>
      <c r="AJ8" s="261">
        <f ca="1">IF(E8="","",SMALL($AC$8:$AC$37,$AI8))</f>
        <v>1.4814814814814725E-5</v>
      </c>
      <c r="AK8" s="274">
        <f ca="1">IF(AJ8="","",VLOOKUP(AJ8,$AC$8:$AG$37,5,0))</f>
        <v>1</v>
      </c>
      <c r="AL8" s="271">
        <f t="shared" ref="AL8:AL37" ca="1" si="5">IF(E8="","",SMALL($AE$8:$AE$37,$AI8))</f>
        <v>7.0000000000000007E-2</v>
      </c>
      <c r="AM8" s="274">
        <f ca="1">IF(AL8="","",VLOOKUP(AL8,$AE$8:$AG$37,3,0))</f>
        <v>2</v>
      </c>
      <c r="AN8" s="136">
        <f>AI8</f>
        <v>1</v>
      </c>
      <c r="AP8" s="107">
        <f t="shared" ref="AP8:AP37" si="6">IF(N8="","",IF(N8="–",1000,N8))</f>
        <v>1.3516203703703704E-3</v>
      </c>
      <c r="AQ8" s="124">
        <f t="shared" ref="AQ8:AQ37" si="7">U8</f>
        <v>0</v>
      </c>
      <c r="AR8" s="67">
        <f t="shared" ref="AR8:AR37" si="8">IF(N8="","",AP8+(AQ8/86400))</f>
        <v>1.3516203703703704E-3</v>
      </c>
      <c r="AS8" s="103">
        <f t="shared" ref="AS8:AS37" si="9">A8</f>
        <v>1</v>
      </c>
      <c r="AU8" s="22">
        <v>1</v>
      </c>
      <c r="AV8" s="67">
        <f>IF(ISERR(SMALL($AR$8:$AR$37,AU8))=TRUE,"",SMALL($AR$8:$AR$37,AU8))</f>
        <v>1.2905092592592593E-3</v>
      </c>
      <c r="AW8" s="135">
        <f>IF(AV8="","",VLOOKUP(AV8,$AR$8:$AS$37,2,0))</f>
        <v>2</v>
      </c>
      <c r="AX8" s="136">
        <f>AU8</f>
        <v>1</v>
      </c>
      <c r="AY8" s="120"/>
      <c r="AZ8" s="148">
        <f ca="1">IF(M8="","",IF(M8="ELIM",100+RAND(),M8+E8*1000))</f>
        <v>5.3578703703703709</v>
      </c>
      <c r="BA8" s="148">
        <f ca="1">IF(V8="","",IF(V8="ELIM",100+RAND(),V8+(N8*10)))</f>
        <v>4.0135162037037038</v>
      </c>
      <c r="BB8" s="148">
        <f ca="1">IF(AZ8="","",IF(BA8="","",SUM(AZ8:BA8)))</f>
        <v>9.3713865740740747</v>
      </c>
      <c r="BC8" s="131">
        <f t="shared" ref="BC8:BC37" ca="1" si="10">IF(BB8="","",A8)</f>
        <v>1</v>
      </c>
      <c r="BD8" s="4">
        <f ca="1">IF(BB8="","",SMALL($BB$8:$BB$37,BC8))</f>
        <v>4.2174189814814813</v>
      </c>
      <c r="BE8" s="4">
        <f ca="1">IF(BB8="","",VLOOKUP(BD8,$BB$8:$BC$37,2,0))</f>
        <v>2</v>
      </c>
      <c r="BF8" s="147" t="str">
        <f ca="1">IF(BB8="","",VLOOKUP(BE8,$A$8:$B$37,2,0))</f>
        <v>ŠEJSTAL Radek, prap.</v>
      </c>
      <c r="BG8" s="153">
        <f t="shared" ref="BG8:BG37" ca="1" si="11">IF(BB8="","",VLOOKUP($BE8,$A$8:$Z$37,5,0))</f>
        <v>2.2045138888888891E-3</v>
      </c>
      <c r="BH8" s="154">
        <f t="shared" ref="BH8:BH37" ca="1" si="12">IF(BB8="","",VLOOKUP($BE8,$A$8:$Z$37,12,0))</f>
        <v>0</v>
      </c>
      <c r="BI8" s="154">
        <f t="shared" ref="BI8:BI37" ca="1" si="13">IF(BB8="","",VLOOKUP($BE8,$A$8:$Z$37,13,0))</f>
        <v>1</v>
      </c>
      <c r="BJ8" s="155">
        <f t="shared" ref="BJ8:BJ37" ca="1" si="14">IF(BB8="","",VLOOKUP($BE8,$A$8:$Z$37,14,0))</f>
        <v>1.2905092592592593E-3</v>
      </c>
      <c r="BK8" s="156">
        <f t="shared" ref="BK8:BK37" ca="1" si="15">IF(BB8="","",VLOOKUP($BE8,$A$8:$Z$37,21,0))</f>
        <v>0</v>
      </c>
      <c r="BL8" s="156">
        <f t="shared" ref="BL8:BL37" ca="1" si="16">IF(BB8="","",VLOOKUP($BE8,$A$8:$Z$37,22,0))</f>
        <v>1</v>
      </c>
      <c r="BM8" s="157">
        <f ca="1">BC8</f>
        <v>1</v>
      </c>
      <c r="BO8" s="149">
        <v>1</v>
      </c>
      <c r="BP8" s="149">
        <f ca="1">IF(ISERROR(LARGE($AZ$8:$AZ$37,BO8))=TRUE,"",LARGE($AZ$8:$AZ$37,BO8))</f>
        <v>100.95069668382554</v>
      </c>
      <c r="BQ8" s="149">
        <f ca="1">VLOOKUP($BP8,$AZ$8:$BC$37,4,0)</f>
        <v>22</v>
      </c>
      <c r="BR8" s="150" t="str">
        <f t="shared" ref="BR8:BR37" ca="1" si="17">IF($BQ8="","",VLOOKUP($BQ8,$A$8:$D$37,2,0))</f>
        <v>NOVÁ Ladislava, str.</v>
      </c>
      <c r="BS8" s="150" t="str">
        <f t="shared" ref="BS8:BS37" ca="1" si="18">IF($BQ8="","",VLOOKUP($BQ8,$A$8:$D$37,3,0))</f>
        <v>SOLO MATERA</v>
      </c>
      <c r="BT8" s="150" t="str">
        <f t="shared" ref="BT8:BT37" ca="1" si="19">IF($BQ8="","",VLOOKUP($BQ8,$A$8:$D$37,4,0))</f>
        <v>MP Praha</v>
      </c>
      <c r="BV8" s="298">
        <f>IF(B8="","",L8+U8)</f>
        <v>5</v>
      </c>
      <c r="BW8" s="296">
        <f>IF(BV8="","",N8)</f>
        <v>1.3516203703703704E-3</v>
      </c>
      <c r="BX8" s="4">
        <v>1</v>
      </c>
      <c r="BY8" s="4">
        <f>BV8+BW8</f>
        <v>5.0013516203703707</v>
      </c>
      <c r="BZ8" s="4">
        <v>1</v>
      </c>
      <c r="CA8" s="4">
        <f>SMALL($BY$8:$BY$37,BX8)</f>
        <v>1.2905092592592593E-3</v>
      </c>
      <c r="CB8" s="5">
        <f>VLOOKUP(CA8,$BY$8:$BZ$29,2,0)</f>
        <v>2</v>
      </c>
    </row>
    <row r="9" spans="1:80" s="4" customFormat="1" ht="12.95" customHeight="1">
      <c r="A9" s="25">
        <v>2</v>
      </c>
      <c r="B9" s="23" t="str">
        <f>IF(VLOOKUP($A9,'STARTOVNÍ LISTINA'!$A$8:$E$37,2,0)="","",VLOOKUP($A9,'STARTOVNÍ LISTINA'!$A$8:$E$37,2,0))</f>
        <v>ŠEJSTAL Radek, prap.</v>
      </c>
      <c r="C9" s="54" t="str">
        <f>IF(VLOOKUP($A9,'STARTOVNÍ LISTINA'!$A$8:$E$37,3,0)="","",VLOOKUP($A9,'STARTOVNÍ LISTINA'!$A$8:$E$37,3,0))</f>
        <v>LISTR</v>
      </c>
      <c r="D9" s="54" t="str">
        <f>IF(VLOOKUP($A9,'STARTOVNÍ LISTINA'!$A$8:$E$37,4,0)="","",VLOOKUP($A9,'STARTOVNÍ LISTINA'!$A$8:$E$37,4,0))</f>
        <v>KŘP Jihomoravského kraje</v>
      </c>
      <c r="E9" s="90">
        <v>2.2045138888888891E-3</v>
      </c>
      <c r="F9" s="128">
        <f t="shared" si="0"/>
        <v>0</v>
      </c>
      <c r="G9" s="280">
        <v>0</v>
      </c>
      <c r="H9" s="281"/>
      <c r="I9" s="281"/>
      <c r="J9" s="281"/>
      <c r="K9" s="282"/>
      <c r="L9" s="87">
        <f t="shared" si="1"/>
        <v>0</v>
      </c>
      <c r="M9" s="85">
        <f t="shared" ref="M9:M37" ca="1" si="20">IF(E9="","",AF9)</f>
        <v>1</v>
      </c>
      <c r="N9" s="90">
        <v>1.2905092592592593E-3</v>
      </c>
      <c r="O9" s="128">
        <f t="shared" ref="O9:O37" si="21">IF(N9="–",0,IF(N9&gt;$V$6,TRUNC((N9-$V$6)*86400),0))</f>
        <v>0</v>
      </c>
      <c r="P9" s="93"/>
      <c r="Q9" s="81"/>
      <c r="R9" s="81"/>
      <c r="S9" s="81"/>
      <c r="T9" s="81"/>
      <c r="U9" s="87">
        <f t="shared" ref="U9:U37" si="22">SUM(O9:T9)</f>
        <v>0</v>
      </c>
      <c r="V9" s="24">
        <f t="shared" si="2"/>
        <v>1</v>
      </c>
      <c r="W9" s="11"/>
      <c r="X9" s="264">
        <f t="shared" ca="1" si="3"/>
        <v>1</v>
      </c>
      <c r="Y9" s="11"/>
      <c r="Z9" s="96">
        <v>2</v>
      </c>
      <c r="AB9" s="96" t="str">
        <f>IF(VLOOKUP(A9,'STARTOVNÍ LISTINA'!$A$8:$E$37,5,0)="POL","ANO","")</f>
        <v/>
      </c>
      <c r="AC9" s="259">
        <f t="shared" ref="AC9:AC37" ca="1" si="23">IF(E9="","",IF(E9="–",0.014+RAND(),IF(E9&lt;=$M$6,ABS(E9-$M$6),ABS(E9-$M$6-0.0007))))</f>
        <v>1.6817129629629604E-4</v>
      </c>
      <c r="AD9" s="87">
        <f ca="1">IF(AC9="","",VLOOKUP(AI9,$AK$8:AN$37,4,0))</f>
        <v>7</v>
      </c>
      <c r="AE9" s="268">
        <f t="shared" ref="AE9:AE37" ca="1" si="24">IF(E9="","",IF(E9="–",1000+SUM(F9:K9)+(AD9/100),SUM(F9:K9)+(AD9/100)))</f>
        <v>7.0000000000000007E-2</v>
      </c>
      <c r="AF9" s="87">
        <f t="shared" ref="AF9:AF37" ca="1" si="25">IF(E9="","",IF(E9="–","ELIM",VLOOKUP(AE9,$AL$8:$AN$37,3,0)))</f>
        <v>1</v>
      </c>
      <c r="AG9" s="103">
        <f t="shared" si="4"/>
        <v>2</v>
      </c>
      <c r="AI9" s="25">
        <v>2</v>
      </c>
      <c r="AJ9" s="261">
        <f t="shared" ref="AJ9:AJ37" ca="1" si="26">IF(E9="","",SMALL($AC$8:$AC$37,$AG9))</f>
        <v>2.3495370370370337E-5</v>
      </c>
      <c r="AK9" s="275">
        <f t="shared" ref="AK9:AK37" ca="1" si="27">IF(AJ9="","",VLOOKUP(AJ9,$AC$8:$AG$37,5,0))</f>
        <v>21</v>
      </c>
      <c r="AL9" s="272">
        <f t="shared" ca="1" si="5"/>
        <v>0.08</v>
      </c>
      <c r="AM9" s="275">
        <f t="shared" ref="AM9:AM37" ca="1" si="28">IF(AL9="","",VLOOKUP(AL9,$AE$8:$AG$37,3,0))</f>
        <v>20</v>
      </c>
      <c r="AN9" s="138">
        <f t="shared" ref="AN9:AN37" si="29">AI9</f>
        <v>2</v>
      </c>
      <c r="AP9" s="107">
        <f t="shared" si="6"/>
        <v>1.2905092592592593E-3</v>
      </c>
      <c r="AQ9" s="124">
        <f t="shared" si="7"/>
        <v>0</v>
      </c>
      <c r="AR9" s="109">
        <f t="shared" si="8"/>
        <v>1.2905092592592593E-3</v>
      </c>
      <c r="AS9" s="103">
        <f t="shared" si="9"/>
        <v>2</v>
      </c>
      <c r="AU9" s="25">
        <v>2</v>
      </c>
      <c r="AV9" s="109">
        <f t="shared" ref="AV9:AV37" si="30">IF(ISERR(SMALL($AR$8:$AR$37,AU9))=TRUE,"",SMALL($AR$8:$AR$37,AU9))</f>
        <v>1.3046296296296295E-3</v>
      </c>
      <c r="AW9" s="137">
        <f t="shared" ref="AW9:AW37" si="31">IF(AV9="","",VLOOKUP(AV9,$AR$8:$AS$37,2,0))</f>
        <v>18</v>
      </c>
      <c r="AX9" s="138">
        <f t="shared" ref="AX9:AX37" si="32">AU9</f>
        <v>2</v>
      </c>
      <c r="AY9" s="120"/>
      <c r="AZ9" s="148">
        <f t="shared" ref="AZ9:AZ37" ca="1" si="33">IF(M9="","",IF(M9="ELIM",100+RAND(),M9+E9*1000))</f>
        <v>3.2045138888888891</v>
      </c>
      <c r="BA9" s="148">
        <f t="shared" ref="BA9:BA37" ca="1" si="34">IF(V9="","",IF(V9="ELIM",100+RAND(),V9+(N9*10)))</f>
        <v>1.0129050925925926</v>
      </c>
      <c r="BB9" s="148">
        <f t="shared" ref="BB9:BB31" ca="1" si="35">IF(AZ9="","",IF(BA9="","",SUM(AZ9:BA9)))</f>
        <v>4.2174189814814813</v>
      </c>
      <c r="BC9" s="131">
        <f t="shared" ca="1" si="10"/>
        <v>2</v>
      </c>
      <c r="BD9" s="4">
        <f t="shared" ref="BD9:BD31" ca="1" si="36">IF(BB9="","",SMALL($BB$8:$BB$37,BC9))</f>
        <v>9.3713865740740747</v>
      </c>
      <c r="BE9" s="4">
        <f t="shared" ref="BE9:BE37" ca="1" si="37">IF(BB9="","",VLOOKUP(BD9,$BB$8:$BC$37,2,0))</f>
        <v>1</v>
      </c>
      <c r="BF9" s="147" t="str">
        <f t="shared" ref="BF9:BF37" ca="1" si="38">IF(BB9="","",VLOOKUP(BE9,$A$8:$B$37,2,0))</f>
        <v>SLEZÁK Michal, nstržm. Ing.</v>
      </c>
      <c r="BG9" s="153">
        <f t="shared" ca="1" si="11"/>
        <v>2.3578703703703704E-3</v>
      </c>
      <c r="BH9" s="154">
        <f t="shared" ca="1" si="12"/>
        <v>5</v>
      </c>
      <c r="BI9" s="154">
        <f t="shared" ca="1" si="13"/>
        <v>3</v>
      </c>
      <c r="BJ9" s="155">
        <f t="shared" ca="1" si="14"/>
        <v>1.3516203703703704E-3</v>
      </c>
      <c r="BK9" s="156">
        <f t="shared" ca="1" si="15"/>
        <v>0</v>
      </c>
      <c r="BL9" s="156">
        <f t="shared" ca="1" si="16"/>
        <v>4</v>
      </c>
      <c r="BM9" s="157">
        <f t="shared" ref="BM9:BM31" ca="1" si="39">BC9</f>
        <v>2</v>
      </c>
      <c r="BO9" s="149">
        <v>2</v>
      </c>
      <c r="BP9" s="149">
        <f t="shared" ref="BP9:BP37" ca="1" si="40">IF(ISERROR(LARGE($AZ$8:$AZ$37,BO9))=TRUE,"",LARGE($AZ$8:$AZ$37,BO9))</f>
        <v>100.86993867929287</v>
      </c>
      <c r="BQ9" s="149">
        <f t="shared" ref="BQ9:BQ37" ca="1" si="41">VLOOKUP($BP9,$AZ$8:$BC$37,4,0)</f>
        <v>12</v>
      </c>
      <c r="BR9" s="150" t="str">
        <f t="shared" ca="1" si="17"/>
        <v>TRNKOVÁ Simona, str.</v>
      </c>
      <c r="BS9" s="150" t="str">
        <f t="shared" ca="1" si="18"/>
        <v>SOLO XALA</v>
      </c>
      <c r="BT9" s="150" t="str">
        <f t="shared" ca="1" si="19"/>
        <v>MP Praha</v>
      </c>
      <c r="BV9" s="298">
        <f t="shared" ref="BV9:BV37" si="42">IF(B9="","",L9+U9)</f>
        <v>0</v>
      </c>
      <c r="BW9" s="296">
        <f t="shared" ref="BW9:BW37" si="43">IF(BV9="","",N9)</f>
        <v>1.2905092592592593E-3</v>
      </c>
      <c r="BX9" s="4">
        <v>2</v>
      </c>
      <c r="BY9" s="4">
        <f t="shared" ref="BY9:BY29" si="44">BV9+BW9</f>
        <v>1.2905092592592593E-3</v>
      </c>
      <c r="BZ9" s="4">
        <v>2</v>
      </c>
      <c r="CA9" s="4">
        <f t="shared" ref="CA9:CA29" si="45">SMALL($BY$8:$BY$37,BX9)</f>
        <v>1.5238425925925925E-3</v>
      </c>
      <c r="CB9" s="5">
        <f t="shared" ref="CB9:CB29" si="46">VLOOKUP(CA9,$BY$8:$BZ$29,2,0)</f>
        <v>20</v>
      </c>
    </row>
    <row r="10" spans="1:80" s="4" customFormat="1" ht="12.95" customHeight="1">
      <c r="A10" s="25">
        <v>3</v>
      </c>
      <c r="B10" s="23" t="str">
        <f>IF(VLOOKUP($A10,'STARTOVNÍ LISTINA'!$A$8:$E$37,2,0)="","",VLOOKUP($A10,'STARTOVNÍ LISTINA'!$A$8:$E$37,2,0))</f>
        <v>SZIVACKI Joszef Tibor</v>
      </c>
      <c r="C10" s="54" t="str">
        <f>IF(VLOOKUP($A10,'STARTOVNÍ LISTINA'!$A$8:$E$37,3,0)="","",VLOOKUP($A10,'STARTOVNÍ LISTINA'!$A$8:$E$37,3,0))</f>
        <v>VELÚR</v>
      </c>
      <c r="D10" s="54" t="str">
        <f>IF(VLOOKUP($A10,'STARTOVNÍ LISTINA'!$A$8:$E$37,4,0)="","",VLOOKUP($A10,'STARTOVNÍ LISTINA'!$A$8:$E$37,4,0))</f>
        <v>MAĎARSKO</v>
      </c>
      <c r="E10" s="90" t="s">
        <v>150</v>
      </c>
      <c r="F10" s="128">
        <f t="shared" si="0"/>
        <v>0</v>
      </c>
      <c r="G10" s="280">
        <v>200</v>
      </c>
      <c r="H10" s="281"/>
      <c r="I10" s="281"/>
      <c r="J10" s="281"/>
      <c r="K10" s="282"/>
      <c r="L10" s="87">
        <f t="shared" si="1"/>
        <v>200</v>
      </c>
      <c r="M10" s="85" t="str">
        <f t="shared" si="20"/>
        <v>ELIM</v>
      </c>
      <c r="N10" s="90">
        <v>1.8269675925925927E-3</v>
      </c>
      <c r="O10" s="128">
        <f t="shared" si="21"/>
        <v>7</v>
      </c>
      <c r="P10" s="93"/>
      <c r="Q10" s="81"/>
      <c r="R10" s="81"/>
      <c r="S10" s="81"/>
      <c r="T10" s="81"/>
      <c r="U10" s="87">
        <f t="shared" si="22"/>
        <v>7</v>
      </c>
      <c r="V10" s="24">
        <f t="shared" si="2"/>
        <v>14</v>
      </c>
      <c r="W10" s="11"/>
      <c r="X10" s="264">
        <f t="shared" ca="1" si="3"/>
        <v>16</v>
      </c>
      <c r="Y10" s="11"/>
      <c r="Z10" s="96">
        <v>3</v>
      </c>
      <c r="AB10" s="96" t="str">
        <f>IF(VLOOKUP(A10,'STARTOVNÍ LISTINA'!$A$8:$E$37,5,0)="POL","ANO","")</f>
        <v/>
      </c>
      <c r="AC10" s="259">
        <f t="shared" ca="1" si="23"/>
        <v>0.69409486644722218</v>
      </c>
      <c r="AD10" s="87">
        <f ca="1">IF(AC10="","",VLOOKUP(AI10,$AK$8:AN$37,4,0))</f>
        <v>19</v>
      </c>
      <c r="AE10" s="268">
        <f t="shared" ca="1" si="24"/>
        <v>1200.19</v>
      </c>
      <c r="AF10" s="87" t="str">
        <f t="shared" si="25"/>
        <v>ELIM</v>
      </c>
      <c r="AG10" s="103">
        <f t="shared" si="4"/>
        <v>3</v>
      </c>
      <c r="AI10" s="25">
        <v>3</v>
      </c>
      <c r="AJ10" s="261">
        <f t="shared" ca="1" si="26"/>
        <v>3.6111111111111326E-5</v>
      </c>
      <c r="AK10" s="275">
        <f t="shared" ca="1" si="27"/>
        <v>14</v>
      </c>
      <c r="AL10" s="272">
        <f t="shared" ca="1" si="5"/>
        <v>5.01</v>
      </c>
      <c r="AM10" s="275">
        <f t="shared" ca="1" si="28"/>
        <v>1</v>
      </c>
      <c r="AN10" s="138">
        <f t="shared" si="29"/>
        <v>3</v>
      </c>
      <c r="AP10" s="107">
        <f t="shared" si="6"/>
        <v>1.8269675925925927E-3</v>
      </c>
      <c r="AQ10" s="124">
        <f t="shared" si="7"/>
        <v>7</v>
      </c>
      <c r="AR10" s="109">
        <f t="shared" si="8"/>
        <v>1.9079861111111112E-3</v>
      </c>
      <c r="AS10" s="103">
        <f t="shared" si="9"/>
        <v>3</v>
      </c>
      <c r="AU10" s="25">
        <v>3</v>
      </c>
      <c r="AV10" s="109">
        <f t="shared" si="30"/>
        <v>1.3296296296296296E-3</v>
      </c>
      <c r="AW10" s="137">
        <f t="shared" si="31"/>
        <v>6</v>
      </c>
      <c r="AX10" s="138">
        <f t="shared" si="32"/>
        <v>3</v>
      </c>
      <c r="AY10" s="120"/>
      <c r="AZ10" s="148">
        <f t="shared" ca="1" si="33"/>
        <v>100.78252141971915</v>
      </c>
      <c r="BA10" s="148">
        <f t="shared" ca="1" si="34"/>
        <v>14.018269675925925</v>
      </c>
      <c r="BB10" s="148">
        <f t="shared" ca="1" si="35"/>
        <v>114.80079109564507</v>
      </c>
      <c r="BC10" s="131">
        <f t="shared" ca="1" si="10"/>
        <v>3</v>
      </c>
      <c r="BD10" s="4">
        <f t="shared" ca="1" si="36"/>
        <v>12.350141203703703</v>
      </c>
      <c r="BE10" s="4">
        <f t="shared" ca="1" si="37"/>
        <v>14</v>
      </c>
      <c r="BF10" s="147" t="str">
        <f t="shared" ca="1" si="38"/>
        <v>OSTŘANSKÁ Renata, nstržm.</v>
      </c>
      <c r="BG10" s="153">
        <f t="shared" ca="1" si="11"/>
        <v>2.3365740740740738E-3</v>
      </c>
      <c r="BH10" s="154">
        <f t="shared" ca="1" si="12"/>
        <v>5</v>
      </c>
      <c r="BI10" s="154">
        <f t="shared" ca="1" si="13"/>
        <v>5</v>
      </c>
      <c r="BJ10" s="155">
        <f t="shared" ca="1" si="14"/>
        <v>1.356712962962963E-3</v>
      </c>
      <c r="BK10" s="156">
        <f t="shared" ca="1" si="15"/>
        <v>0</v>
      </c>
      <c r="BL10" s="156">
        <f t="shared" ca="1" si="16"/>
        <v>5</v>
      </c>
      <c r="BM10" s="157">
        <f t="shared" ca="1" si="39"/>
        <v>3</v>
      </c>
      <c r="BO10" s="149">
        <v>3</v>
      </c>
      <c r="BP10" s="149">
        <f t="shared" ca="1" si="40"/>
        <v>100.86704304920443</v>
      </c>
      <c r="BQ10" s="149">
        <f t="shared" ca="1" si="41"/>
        <v>15</v>
      </c>
      <c r="BR10" s="150" t="str">
        <f t="shared" ca="1" si="17"/>
        <v>PETROVIČ Zbyněk, str.</v>
      </c>
      <c r="BS10" s="150" t="str">
        <f t="shared" ca="1" si="18"/>
        <v>ROMKE FAVIDA</v>
      </c>
      <c r="BT10" s="150" t="str">
        <f t="shared" ca="1" si="19"/>
        <v>MP Praha</v>
      </c>
      <c r="BV10" s="298">
        <f t="shared" si="42"/>
        <v>207</v>
      </c>
      <c r="BW10" s="296">
        <f t="shared" si="43"/>
        <v>1.8269675925925927E-3</v>
      </c>
      <c r="BX10" s="4">
        <v>3</v>
      </c>
      <c r="BY10" s="4">
        <f t="shared" si="44"/>
        <v>207.00182696759259</v>
      </c>
      <c r="BZ10" s="4">
        <v>3</v>
      </c>
      <c r="CA10" s="4">
        <f t="shared" si="45"/>
        <v>5.0013516203703707</v>
      </c>
      <c r="CB10" s="5">
        <f t="shared" si="46"/>
        <v>1</v>
      </c>
    </row>
    <row r="11" spans="1:80" s="4" customFormat="1" ht="12.95" customHeight="1">
      <c r="A11" s="25">
        <v>4</v>
      </c>
      <c r="B11" s="23" t="str">
        <f>IF(VLOOKUP($A11,'STARTOVNÍ LISTINA'!$A$8:$E$37,2,0)="","",VLOOKUP($A11,'STARTOVNÍ LISTINA'!$A$8:$E$37,2,0))</f>
        <v>ZGOLA Marián, ppráp.</v>
      </c>
      <c r="C11" s="54" t="str">
        <f>IF(VLOOKUP($A11,'STARTOVNÍ LISTINA'!$A$8:$E$37,3,0)="","",VLOOKUP($A11,'STARTOVNÍ LISTINA'!$A$8:$E$37,3,0))</f>
        <v>LAPAZ 21</v>
      </c>
      <c r="D11" s="54" t="str">
        <f>IF(VLOOKUP($A11,'STARTOVNÍ LISTINA'!$A$8:$E$37,4,0)="","",VLOOKUP($A11,'STARTOVNÍ LISTINA'!$A$8:$E$37,4,0))</f>
        <v>SLOVENSKO, Košice</v>
      </c>
      <c r="E11" s="90">
        <v>2.5290509259259259E-3</v>
      </c>
      <c r="F11" s="128">
        <f t="shared" si="0"/>
        <v>14</v>
      </c>
      <c r="G11" s="280">
        <v>10</v>
      </c>
      <c r="H11" s="281"/>
      <c r="I11" s="281"/>
      <c r="J11" s="281"/>
      <c r="K11" s="282"/>
      <c r="L11" s="87">
        <f t="shared" si="1"/>
        <v>24</v>
      </c>
      <c r="M11" s="85">
        <f t="shared" ca="1" si="20"/>
        <v>13</v>
      </c>
      <c r="N11" s="90">
        <v>1.9481481481481483E-3</v>
      </c>
      <c r="O11" s="128">
        <f t="shared" si="21"/>
        <v>18</v>
      </c>
      <c r="P11" s="93"/>
      <c r="Q11" s="81"/>
      <c r="R11" s="81"/>
      <c r="S11" s="81"/>
      <c r="T11" s="81"/>
      <c r="U11" s="87">
        <f t="shared" si="22"/>
        <v>18</v>
      </c>
      <c r="V11" s="24">
        <f t="shared" si="2"/>
        <v>17</v>
      </c>
      <c r="W11" s="11"/>
      <c r="X11" s="264">
        <f t="shared" ca="1" si="3"/>
        <v>14</v>
      </c>
      <c r="Y11" s="11"/>
      <c r="Z11" s="96">
        <v>4</v>
      </c>
      <c r="AB11" s="96" t="str">
        <f>IF(VLOOKUP(A11,'STARTOVNÍ LISTINA'!$A$8:$E$37,5,0)="POL","ANO","")</f>
        <v/>
      </c>
      <c r="AC11" s="259">
        <f t="shared" ca="1" si="23"/>
        <v>5.4363425925925922E-4</v>
      </c>
      <c r="AD11" s="87">
        <f ca="1">IF(AC11="","",VLOOKUP(AI11,$AK$8:AN$37,4,0))</f>
        <v>10</v>
      </c>
      <c r="AE11" s="268">
        <f t="shared" ca="1" si="24"/>
        <v>24.1</v>
      </c>
      <c r="AF11" s="87">
        <f t="shared" ca="1" si="25"/>
        <v>13</v>
      </c>
      <c r="AG11" s="103">
        <f t="shared" si="4"/>
        <v>4</v>
      </c>
      <c r="AI11" s="25">
        <v>4</v>
      </c>
      <c r="AJ11" s="261">
        <f t="shared" ca="1" si="26"/>
        <v>6.4814814814814856E-5</v>
      </c>
      <c r="AK11" s="275">
        <f t="shared" ca="1" si="27"/>
        <v>13</v>
      </c>
      <c r="AL11" s="272">
        <f t="shared" ca="1" si="5"/>
        <v>5.0199999999999996</v>
      </c>
      <c r="AM11" s="275">
        <f t="shared" ca="1" si="28"/>
        <v>21</v>
      </c>
      <c r="AN11" s="138">
        <f t="shared" si="29"/>
        <v>4</v>
      </c>
      <c r="AP11" s="107">
        <f t="shared" si="6"/>
        <v>1.9481481481481483E-3</v>
      </c>
      <c r="AQ11" s="124">
        <f t="shared" si="7"/>
        <v>18</v>
      </c>
      <c r="AR11" s="109">
        <f t="shared" si="8"/>
        <v>2.1564814814814814E-3</v>
      </c>
      <c r="AS11" s="103">
        <f t="shared" si="9"/>
        <v>4</v>
      </c>
      <c r="AU11" s="25">
        <v>4</v>
      </c>
      <c r="AV11" s="109">
        <f t="shared" si="30"/>
        <v>1.3516203703703704E-3</v>
      </c>
      <c r="AW11" s="137">
        <f t="shared" si="31"/>
        <v>1</v>
      </c>
      <c r="AX11" s="138">
        <f t="shared" si="32"/>
        <v>4</v>
      </c>
      <c r="AY11" s="120"/>
      <c r="AZ11" s="148">
        <f t="shared" ca="1" si="33"/>
        <v>15.529050925925926</v>
      </c>
      <c r="BA11" s="148">
        <f t="shared" ca="1" si="34"/>
        <v>17.019481481481481</v>
      </c>
      <c r="BB11" s="148">
        <f t="shared" ca="1" si="35"/>
        <v>32.548532407407407</v>
      </c>
      <c r="BC11" s="131">
        <f t="shared" ca="1" si="10"/>
        <v>4</v>
      </c>
      <c r="BD11" s="4">
        <f t="shared" ca="1" si="36"/>
        <v>12.411773148148148</v>
      </c>
      <c r="BE11" s="4">
        <f t="shared" ca="1" si="37"/>
        <v>18</v>
      </c>
      <c r="BF11" s="147" t="str">
        <f t="shared" ca="1" si="38"/>
        <v>ZEDNÍČEK Libor, str.</v>
      </c>
      <c r="BG11" s="153">
        <f t="shared" ca="1" si="11"/>
        <v>2.398726851851852E-3</v>
      </c>
      <c r="BH11" s="154">
        <f t="shared" ca="1" si="12"/>
        <v>8</v>
      </c>
      <c r="BI11" s="154">
        <f t="shared" ca="1" si="13"/>
        <v>8</v>
      </c>
      <c r="BJ11" s="155">
        <f t="shared" ca="1" si="14"/>
        <v>1.3046296296296295E-3</v>
      </c>
      <c r="BK11" s="156">
        <f t="shared" ca="1" si="15"/>
        <v>0</v>
      </c>
      <c r="BL11" s="156">
        <f t="shared" ca="1" si="16"/>
        <v>2</v>
      </c>
      <c r="BM11" s="157">
        <f t="shared" ca="1" si="39"/>
        <v>4</v>
      </c>
      <c r="BO11" s="149">
        <v>4</v>
      </c>
      <c r="BP11" s="149">
        <f t="shared" ca="1" si="40"/>
        <v>100.8467168760577</v>
      </c>
      <c r="BQ11" s="149">
        <f t="shared" ca="1" si="41"/>
        <v>9</v>
      </c>
      <c r="BR11" s="150" t="str">
        <f t="shared" ca="1" si="17"/>
        <v>KUROPATNICKÁ Zuzana, nstržm.</v>
      </c>
      <c r="BS11" s="150" t="str">
        <f t="shared" ca="1" si="18"/>
        <v>CASSIUS</v>
      </c>
      <c r="BT11" s="150" t="str">
        <f t="shared" ca="1" si="19"/>
        <v>KŘP hlavního města Prahy</v>
      </c>
      <c r="BV11" s="298">
        <f t="shared" si="42"/>
        <v>42</v>
      </c>
      <c r="BW11" s="296">
        <f t="shared" si="43"/>
        <v>1.9481481481481483E-3</v>
      </c>
      <c r="BX11" s="4">
        <v>4</v>
      </c>
      <c r="BY11" s="4">
        <f t="shared" si="44"/>
        <v>42.001948148148145</v>
      </c>
      <c r="BZ11" s="4">
        <v>4</v>
      </c>
      <c r="CA11" s="4">
        <f t="shared" si="45"/>
        <v>5.0013567129629628</v>
      </c>
      <c r="CB11" s="5">
        <f t="shared" si="46"/>
        <v>14</v>
      </c>
    </row>
    <row r="12" spans="1:80" s="4" customFormat="1" ht="12.95" customHeight="1">
      <c r="A12" s="25">
        <v>5</v>
      </c>
      <c r="B12" s="23" t="str">
        <f>IF(VLOOKUP($A12,'STARTOVNÍ LISTINA'!$A$8:$E$37,2,0)="","",VLOOKUP($A12,'STARTOVNÍ LISTINA'!$A$8:$E$37,2,0))</f>
        <v>GASPÁR György</v>
      </c>
      <c r="C12" s="54" t="str">
        <f>IF(VLOOKUP($A12,'STARTOVNÍ LISTINA'!$A$8:$E$37,3,0)="","",VLOOKUP($A12,'STARTOVNÍ LISTINA'!$A$8:$E$37,3,0))</f>
        <v>RUBIN</v>
      </c>
      <c r="D12" s="54" t="str">
        <f>IF(VLOOKUP($A12,'STARTOVNÍ LISTINA'!$A$8:$E$37,4,0)="","",VLOOKUP($A12,'STARTOVNÍ LISTINA'!$A$8:$E$37,4,0))</f>
        <v>MAĎARSKO</v>
      </c>
      <c r="E12" s="90" t="s">
        <v>150</v>
      </c>
      <c r="F12" s="128">
        <f t="shared" si="0"/>
        <v>0</v>
      </c>
      <c r="G12" s="280">
        <v>200</v>
      </c>
      <c r="H12" s="281"/>
      <c r="I12" s="281"/>
      <c r="J12" s="281"/>
      <c r="K12" s="282"/>
      <c r="L12" s="87">
        <f t="shared" si="1"/>
        <v>200</v>
      </c>
      <c r="M12" s="85" t="str">
        <f t="shared" si="20"/>
        <v>ELIM</v>
      </c>
      <c r="N12" s="90">
        <v>2.3137731481481481E-3</v>
      </c>
      <c r="O12" s="128">
        <f t="shared" si="21"/>
        <v>49</v>
      </c>
      <c r="P12" s="93">
        <v>5</v>
      </c>
      <c r="Q12" s="81">
        <v>30</v>
      </c>
      <c r="R12" s="81">
        <v>15</v>
      </c>
      <c r="S12" s="81"/>
      <c r="T12" s="81"/>
      <c r="U12" s="87">
        <f t="shared" si="22"/>
        <v>99</v>
      </c>
      <c r="V12" s="24">
        <f t="shared" si="2"/>
        <v>20</v>
      </c>
      <c r="W12" s="11"/>
      <c r="X12" s="264">
        <f t="shared" ca="1" si="3"/>
        <v>20</v>
      </c>
      <c r="Y12" s="11"/>
      <c r="Z12" s="96">
        <v>5</v>
      </c>
      <c r="AB12" s="96" t="str">
        <f>IF(VLOOKUP(A12,'STARTOVNÍ LISTINA'!$A$8:$E$37,5,0)="POL","ANO","")</f>
        <v/>
      </c>
      <c r="AC12" s="259">
        <f t="shared" ca="1" si="23"/>
        <v>0.16967000933479515</v>
      </c>
      <c r="AD12" s="87">
        <f ca="1">IF(AC12="","",VLOOKUP(AI12,$AK$8:AN$37,4,0))</f>
        <v>17</v>
      </c>
      <c r="AE12" s="268">
        <f t="shared" ca="1" si="24"/>
        <v>1200.17</v>
      </c>
      <c r="AF12" s="87" t="str">
        <f t="shared" si="25"/>
        <v>ELIM</v>
      </c>
      <c r="AG12" s="103">
        <f t="shared" si="4"/>
        <v>5</v>
      </c>
      <c r="AI12" s="25">
        <v>5</v>
      </c>
      <c r="AJ12" s="261">
        <f t="shared" ca="1" si="26"/>
        <v>1.1388888888888863E-4</v>
      </c>
      <c r="AK12" s="275">
        <f t="shared" ca="1" si="27"/>
        <v>7</v>
      </c>
      <c r="AL12" s="272">
        <f t="shared" ca="1" si="5"/>
        <v>5.03</v>
      </c>
      <c r="AM12" s="275">
        <f t="shared" ca="1" si="28"/>
        <v>14</v>
      </c>
      <c r="AN12" s="138">
        <f t="shared" si="29"/>
        <v>5</v>
      </c>
      <c r="AP12" s="107">
        <f t="shared" si="6"/>
        <v>2.3137731481481481E-3</v>
      </c>
      <c r="AQ12" s="124">
        <f t="shared" si="7"/>
        <v>99</v>
      </c>
      <c r="AR12" s="109">
        <f t="shared" si="8"/>
        <v>3.4596064814814815E-3</v>
      </c>
      <c r="AS12" s="103">
        <f t="shared" si="9"/>
        <v>5</v>
      </c>
      <c r="AU12" s="25">
        <v>5</v>
      </c>
      <c r="AV12" s="109">
        <f t="shared" si="30"/>
        <v>1.356712962962963E-3</v>
      </c>
      <c r="AW12" s="137">
        <f t="shared" si="31"/>
        <v>14</v>
      </c>
      <c r="AX12" s="138">
        <f t="shared" si="32"/>
        <v>5</v>
      </c>
      <c r="AY12" s="120"/>
      <c r="AZ12" s="148">
        <f t="shared" ca="1" si="33"/>
        <v>100.64397483885649</v>
      </c>
      <c r="BA12" s="148">
        <f t="shared" ca="1" si="34"/>
        <v>20.02313773148148</v>
      </c>
      <c r="BB12" s="148">
        <f t="shared" ca="1" si="35"/>
        <v>120.66711257033798</v>
      </c>
      <c r="BC12" s="131">
        <f t="shared" ca="1" si="10"/>
        <v>5</v>
      </c>
      <c r="BD12" s="4">
        <f t="shared" ca="1" si="36"/>
        <v>14.210724537037038</v>
      </c>
      <c r="BE12" s="4">
        <f t="shared" ca="1" si="37"/>
        <v>20</v>
      </c>
      <c r="BF12" s="147" t="str">
        <f t="shared" ca="1" si="38"/>
        <v>HORNÍK Martin, str. Ing.</v>
      </c>
      <c r="BG12" s="153">
        <f t="shared" ca="1" si="11"/>
        <v>2.1954861111111112E-3</v>
      </c>
      <c r="BH12" s="154">
        <f t="shared" ca="1" si="12"/>
        <v>0</v>
      </c>
      <c r="BI12" s="154">
        <f t="shared" ca="1" si="13"/>
        <v>2</v>
      </c>
      <c r="BJ12" s="155">
        <f t="shared" ca="1" si="14"/>
        <v>1.5238425925925925E-3</v>
      </c>
      <c r="BK12" s="156">
        <f t="shared" ca="1" si="15"/>
        <v>0</v>
      </c>
      <c r="BL12" s="156">
        <f t="shared" ca="1" si="16"/>
        <v>10</v>
      </c>
      <c r="BM12" s="157">
        <f t="shared" ca="1" si="39"/>
        <v>5</v>
      </c>
      <c r="BO12" s="149">
        <v>5</v>
      </c>
      <c r="BP12" s="149">
        <f t="shared" ca="1" si="40"/>
        <v>100.78252141971915</v>
      </c>
      <c r="BQ12" s="149">
        <f t="shared" ca="1" si="41"/>
        <v>3</v>
      </c>
      <c r="BR12" s="150" t="str">
        <f t="shared" ca="1" si="17"/>
        <v>SZIVACKI Joszef Tibor</v>
      </c>
      <c r="BS12" s="150" t="str">
        <f t="shared" ca="1" si="18"/>
        <v>VELÚR</v>
      </c>
      <c r="BT12" s="150" t="str">
        <f t="shared" ca="1" si="19"/>
        <v>MAĎARSKO</v>
      </c>
      <c r="BV12" s="298">
        <f t="shared" si="42"/>
        <v>299</v>
      </c>
      <c r="BW12" s="296">
        <f t="shared" si="43"/>
        <v>2.3137731481481481E-3</v>
      </c>
      <c r="BX12" s="4">
        <v>5</v>
      </c>
      <c r="BY12" s="4">
        <f t="shared" si="44"/>
        <v>299.00231377314816</v>
      </c>
      <c r="BZ12" s="4">
        <v>5</v>
      </c>
      <c r="CA12" s="4">
        <f t="shared" si="45"/>
        <v>5.0014612268518519</v>
      </c>
      <c r="CB12" s="5">
        <f t="shared" si="46"/>
        <v>13</v>
      </c>
    </row>
    <row r="13" spans="1:80" s="4" customFormat="1" ht="12.95" customHeight="1">
      <c r="A13" s="25">
        <v>6</v>
      </c>
      <c r="B13" s="23" t="str">
        <f>IF(VLOOKUP($A13,'STARTOVNÍ LISTINA'!$A$8:$E$37,2,0)="","",VLOOKUP($A13,'STARTOVNÍ LISTINA'!$A$8:$E$37,2,0))</f>
        <v>BŘEČKA Dalibor, pprap.</v>
      </c>
      <c r="C13" s="54" t="str">
        <f>IF(VLOOKUP($A13,'STARTOVNÍ LISTINA'!$A$8:$E$37,3,0)="","",VLOOKUP($A13,'STARTOVNÍ LISTINA'!$A$8:$E$37,3,0))</f>
        <v>TAJFUN</v>
      </c>
      <c r="D13" s="54" t="str">
        <f>IF(VLOOKUP($A13,'STARTOVNÍ LISTINA'!$A$8:$E$37,4,0)="","",VLOOKUP($A13,'STARTOVNÍ LISTINA'!$A$8:$E$37,4,0))</f>
        <v>KŘP Zlínského kraje</v>
      </c>
      <c r="E13" s="90">
        <v>2.1590277777777775E-3</v>
      </c>
      <c r="F13" s="128">
        <f t="shared" si="0"/>
        <v>0</v>
      </c>
      <c r="G13" s="280">
        <v>10</v>
      </c>
      <c r="H13" s="281"/>
      <c r="I13" s="281"/>
      <c r="J13" s="281"/>
      <c r="K13" s="282"/>
      <c r="L13" s="87">
        <f t="shared" si="1"/>
        <v>10</v>
      </c>
      <c r="M13" s="85">
        <f t="shared" ca="1" si="20"/>
        <v>10</v>
      </c>
      <c r="N13" s="90">
        <v>1.3296296296296296E-3</v>
      </c>
      <c r="O13" s="128">
        <f t="shared" si="21"/>
        <v>0</v>
      </c>
      <c r="P13" s="93"/>
      <c r="Q13" s="81"/>
      <c r="R13" s="81"/>
      <c r="S13" s="81"/>
      <c r="T13" s="81"/>
      <c r="U13" s="87">
        <f t="shared" si="22"/>
        <v>0</v>
      </c>
      <c r="V13" s="24">
        <f t="shared" si="2"/>
        <v>3</v>
      </c>
      <c r="W13" s="11"/>
      <c r="X13" s="264">
        <f t="shared" ca="1" si="3"/>
        <v>7</v>
      </c>
      <c r="Y13" s="11"/>
      <c r="Z13" s="96">
        <v>6</v>
      </c>
      <c r="AB13" s="96" t="str">
        <f>IF(VLOOKUP(A13,'STARTOVNÍ LISTINA'!$A$8:$E$37,5,0)="POL","ANO","")</f>
        <v/>
      </c>
      <c r="AC13" s="259">
        <f t="shared" ca="1" si="23"/>
        <v>2.1365740740740763E-4</v>
      </c>
      <c r="AD13" s="87">
        <f ca="1">IF(AC13="","",VLOOKUP(AI13,$AK$8:AN$37,4,0))</f>
        <v>9</v>
      </c>
      <c r="AE13" s="268">
        <f t="shared" ca="1" si="24"/>
        <v>10.09</v>
      </c>
      <c r="AF13" s="87">
        <f t="shared" ca="1" si="25"/>
        <v>10</v>
      </c>
      <c r="AG13" s="103">
        <f t="shared" si="4"/>
        <v>6</v>
      </c>
      <c r="AI13" s="25">
        <v>6</v>
      </c>
      <c r="AJ13" s="261">
        <f t="shared" ca="1" si="26"/>
        <v>1.5289351851851879E-4</v>
      </c>
      <c r="AK13" s="275">
        <f t="shared" ca="1" si="27"/>
        <v>11</v>
      </c>
      <c r="AL13" s="272">
        <f t="shared" ca="1" si="5"/>
        <v>5.04</v>
      </c>
      <c r="AM13" s="275">
        <f t="shared" ca="1" si="28"/>
        <v>13</v>
      </c>
      <c r="AN13" s="138">
        <f t="shared" si="29"/>
        <v>6</v>
      </c>
      <c r="AP13" s="107">
        <f t="shared" si="6"/>
        <v>1.3296296296296296E-3</v>
      </c>
      <c r="AQ13" s="124">
        <f t="shared" si="7"/>
        <v>0</v>
      </c>
      <c r="AR13" s="109">
        <f t="shared" si="8"/>
        <v>1.3296296296296296E-3</v>
      </c>
      <c r="AS13" s="103">
        <f t="shared" si="9"/>
        <v>6</v>
      </c>
      <c r="AU13" s="25">
        <v>6</v>
      </c>
      <c r="AV13" s="109">
        <f t="shared" si="30"/>
        <v>1.4612268518518518E-3</v>
      </c>
      <c r="AW13" s="137">
        <f t="shared" si="31"/>
        <v>13</v>
      </c>
      <c r="AX13" s="138">
        <f t="shared" si="32"/>
        <v>6</v>
      </c>
      <c r="AY13" s="120"/>
      <c r="AZ13" s="148">
        <f t="shared" ca="1" si="33"/>
        <v>12.159027777777776</v>
      </c>
      <c r="BA13" s="148">
        <f t="shared" ca="1" si="34"/>
        <v>3.0132962962962964</v>
      </c>
      <c r="BB13" s="148">
        <f t="shared" ca="1" si="35"/>
        <v>15.172324074074073</v>
      </c>
      <c r="BC13" s="131">
        <f t="shared" ca="1" si="10"/>
        <v>6</v>
      </c>
      <c r="BD13" s="4">
        <f t="shared" ca="1" si="36"/>
        <v>14.322482638888889</v>
      </c>
      <c r="BE13" s="4">
        <f t="shared" ca="1" si="37"/>
        <v>13</v>
      </c>
      <c r="BF13" s="147" t="str">
        <f t="shared" ca="1" si="38"/>
        <v>BONK Christin</v>
      </c>
      <c r="BG13" s="153">
        <f t="shared" ca="1" si="11"/>
        <v>2.3078703703703703E-3</v>
      </c>
      <c r="BH13" s="154">
        <f t="shared" ca="1" si="12"/>
        <v>5</v>
      </c>
      <c r="BI13" s="154">
        <f t="shared" ca="1" si="13"/>
        <v>6</v>
      </c>
      <c r="BJ13" s="155">
        <f t="shared" ca="1" si="14"/>
        <v>1.4612268518518518E-3</v>
      </c>
      <c r="BK13" s="156">
        <f t="shared" ca="1" si="15"/>
        <v>0</v>
      </c>
      <c r="BL13" s="156">
        <f t="shared" ca="1" si="16"/>
        <v>6</v>
      </c>
      <c r="BM13" s="157">
        <f t="shared" ca="1" si="39"/>
        <v>6</v>
      </c>
      <c r="BO13" s="149">
        <v>6</v>
      </c>
      <c r="BP13" s="149">
        <f t="shared" ca="1" si="40"/>
        <v>100.64397483885649</v>
      </c>
      <c r="BQ13" s="149">
        <f t="shared" ca="1" si="41"/>
        <v>5</v>
      </c>
      <c r="BR13" s="150" t="str">
        <f t="shared" ca="1" si="17"/>
        <v>GASPÁR György</v>
      </c>
      <c r="BS13" s="150" t="str">
        <f t="shared" ca="1" si="18"/>
        <v>RUBIN</v>
      </c>
      <c r="BT13" s="150" t="str">
        <f t="shared" ca="1" si="19"/>
        <v>MAĎARSKO</v>
      </c>
      <c r="BV13" s="298">
        <f t="shared" si="42"/>
        <v>10</v>
      </c>
      <c r="BW13" s="296">
        <f t="shared" si="43"/>
        <v>1.3296296296296296E-3</v>
      </c>
      <c r="BX13" s="4">
        <v>6</v>
      </c>
      <c r="BY13" s="4">
        <f t="shared" si="44"/>
        <v>10.00132962962963</v>
      </c>
      <c r="BZ13" s="4">
        <v>6</v>
      </c>
      <c r="CA13" s="4">
        <f t="shared" si="45"/>
        <v>8.0013046296296295</v>
      </c>
      <c r="CB13" s="5">
        <f t="shared" si="46"/>
        <v>18</v>
      </c>
    </row>
    <row r="14" spans="1:80" s="4" customFormat="1" ht="12.95" customHeight="1">
      <c r="A14" s="25">
        <v>7</v>
      </c>
      <c r="B14" s="23" t="str">
        <f>IF(VLOOKUP($A14,'STARTOVNÍ LISTINA'!$A$8:$E$37,2,0)="","",VLOOKUP($A14,'STARTOVNÍ LISTINA'!$A$8:$E$37,2,0))</f>
        <v>NOVÁK Tomáš, str.</v>
      </c>
      <c r="C14" s="54" t="str">
        <f>IF(VLOOKUP($A14,'STARTOVNÍ LISTINA'!$A$8:$E$37,3,0)="","",VLOOKUP($A14,'STARTOVNÍ LISTINA'!$A$8:$E$37,3,0))</f>
        <v>SOLO PANDORA</v>
      </c>
      <c r="D14" s="54" t="str">
        <f>IF(VLOOKUP($A14,'STARTOVNÍ LISTINA'!$A$8:$E$37,4,0)="","",VLOOKUP($A14,'STARTOVNÍ LISTINA'!$A$8:$E$37,4,0))</f>
        <v>MP Ostrava</v>
      </c>
      <c r="E14" s="90">
        <v>2.2587962962962965E-3</v>
      </c>
      <c r="F14" s="128">
        <f t="shared" si="0"/>
        <v>0</v>
      </c>
      <c r="G14" s="280">
        <v>5</v>
      </c>
      <c r="H14" s="281"/>
      <c r="I14" s="281"/>
      <c r="J14" s="281"/>
      <c r="K14" s="282"/>
      <c r="L14" s="87">
        <f t="shared" si="1"/>
        <v>5</v>
      </c>
      <c r="M14" s="85">
        <f t="shared" ca="1" si="20"/>
        <v>7</v>
      </c>
      <c r="N14" s="90">
        <v>1.6847222222222222E-3</v>
      </c>
      <c r="O14" s="128">
        <f t="shared" si="21"/>
        <v>0</v>
      </c>
      <c r="P14" s="93">
        <v>10</v>
      </c>
      <c r="Q14" s="81">
        <v>15</v>
      </c>
      <c r="R14" s="81"/>
      <c r="S14" s="81"/>
      <c r="T14" s="81"/>
      <c r="U14" s="87">
        <f t="shared" si="22"/>
        <v>25</v>
      </c>
      <c r="V14" s="24">
        <f t="shared" si="2"/>
        <v>15</v>
      </c>
      <c r="W14" s="11"/>
      <c r="X14" s="264">
        <f t="shared" ca="1" si="3"/>
        <v>11</v>
      </c>
      <c r="Y14" s="11"/>
      <c r="Z14" s="96">
        <v>7</v>
      </c>
      <c r="AB14" s="96" t="str">
        <f>IF(VLOOKUP(A14,'STARTOVNÍ LISTINA'!$A$8:$E$37,5,0)="POL","ANO","")</f>
        <v/>
      </c>
      <c r="AC14" s="259">
        <f t="shared" ca="1" si="23"/>
        <v>1.1388888888888863E-4</v>
      </c>
      <c r="AD14" s="87">
        <f ca="1">IF(AC14="","",VLOOKUP(AI14,$AK$8:AN$37,4,0))</f>
        <v>5</v>
      </c>
      <c r="AE14" s="268">
        <f t="shared" ca="1" si="24"/>
        <v>5.05</v>
      </c>
      <c r="AF14" s="87">
        <f t="shared" ca="1" si="25"/>
        <v>7</v>
      </c>
      <c r="AG14" s="103">
        <f t="shared" si="4"/>
        <v>7</v>
      </c>
      <c r="AI14" s="25">
        <v>7</v>
      </c>
      <c r="AJ14" s="261">
        <f t="shared" ca="1" si="26"/>
        <v>1.6817129629629604E-4</v>
      </c>
      <c r="AK14" s="275">
        <f t="shared" ca="1" si="27"/>
        <v>2</v>
      </c>
      <c r="AL14" s="272">
        <f t="shared" ca="1" si="5"/>
        <v>5.05</v>
      </c>
      <c r="AM14" s="275">
        <f t="shared" ca="1" si="28"/>
        <v>7</v>
      </c>
      <c r="AN14" s="138">
        <f t="shared" si="29"/>
        <v>7</v>
      </c>
      <c r="AP14" s="107">
        <f t="shared" si="6"/>
        <v>1.6847222222222222E-3</v>
      </c>
      <c r="AQ14" s="124">
        <f t="shared" si="7"/>
        <v>25</v>
      </c>
      <c r="AR14" s="109">
        <f t="shared" si="8"/>
        <v>1.9740740740740743E-3</v>
      </c>
      <c r="AS14" s="103">
        <f t="shared" si="9"/>
        <v>7</v>
      </c>
      <c r="AU14" s="25">
        <v>7</v>
      </c>
      <c r="AV14" s="109">
        <f t="shared" si="30"/>
        <v>1.4869212962962963E-3</v>
      </c>
      <c r="AW14" s="137">
        <f t="shared" si="31"/>
        <v>11</v>
      </c>
      <c r="AX14" s="138">
        <f t="shared" si="32"/>
        <v>7</v>
      </c>
      <c r="AY14" s="120"/>
      <c r="AZ14" s="148">
        <f t="shared" ca="1" si="33"/>
        <v>9.2587962962962962</v>
      </c>
      <c r="BA14" s="148">
        <f t="shared" ca="1" si="34"/>
        <v>15.016847222222221</v>
      </c>
      <c r="BB14" s="148">
        <f t="shared" ca="1" si="35"/>
        <v>24.275643518518518</v>
      </c>
      <c r="BC14" s="131">
        <f t="shared" ca="1" si="10"/>
        <v>7</v>
      </c>
      <c r="BD14" s="4">
        <f t="shared" ca="1" si="36"/>
        <v>15.172324074074073</v>
      </c>
      <c r="BE14" s="4">
        <f t="shared" ca="1" si="37"/>
        <v>6</v>
      </c>
      <c r="BF14" s="147" t="str">
        <f t="shared" ca="1" si="38"/>
        <v>BŘEČKA Dalibor, pprap.</v>
      </c>
      <c r="BG14" s="153">
        <f t="shared" ca="1" si="11"/>
        <v>2.1590277777777775E-3</v>
      </c>
      <c r="BH14" s="154">
        <f t="shared" ca="1" si="12"/>
        <v>10</v>
      </c>
      <c r="BI14" s="154">
        <f t="shared" ca="1" si="13"/>
        <v>10</v>
      </c>
      <c r="BJ14" s="155">
        <f t="shared" ca="1" si="14"/>
        <v>1.3296296296296296E-3</v>
      </c>
      <c r="BK14" s="156">
        <f t="shared" ca="1" si="15"/>
        <v>0</v>
      </c>
      <c r="BL14" s="156">
        <f t="shared" ca="1" si="16"/>
        <v>3</v>
      </c>
      <c r="BM14" s="157">
        <f t="shared" ca="1" si="39"/>
        <v>7</v>
      </c>
      <c r="BO14" s="149">
        <v>7</v>
      </c>
      <c r="BP14" s="149">
        <f t="shared" ca="1" si="40"/>
        <v>100.45200857429394</v>
      </c>
      <c r="BQ14" s="149">
        <f t="shared" ca="1" si="41"/>
        <v>16</v>
      </c>
      <c r="BR14" s="150" t="str">
        <f t="shared" ca="1" si="17"/>
        <v>PILKO Stephan</v>
      </c>
      <c r="BS14" s="150" t="str">
        <f t="shared" ca="1" si="18"/>
        <v>QUICK STEP</v>
      </c>
      <c r="BT14" s="150" t="str">
        <f t="shared" ca="1" si="19"/>
        <v>NĚMECKO, Sasko</v>
      </c>
      <c r="BV14" s="298">
        <f t="shared" si="42"/>
        <v>30</v>
      </c>
      <c r="BW14" s="296">
        <f t="shared" si="43"/>
        <v>1.6847222222222222E-3</v>
      </c>
      <c r="BX14" s="4">
        <v>7</v>
      </c>
      <c r="BY14" s="4">
        <f t="shared" si="44"/>
        <v>30.001684722222222</v>
      </c>
      <c r="BZ14" s="4">
        <v>7</v>
      </c>
      <c r="CA14" s="4">
        <f t="shared" si="45"/>
        <v>10.00132962962963</v>
      </c>
      <c r="CB14" s="5">
        <f t="shared" si="46"/>
        <v>6</v>
      </c>
    </row>
    <row r="15" spans="1:80" s="4" customFormat="1" ht="12.95" customHeight="1">
      <c r="A15" s="25">
        <v>8</v>
      </c>
      <c r="B15" s="23" t="str">
        <f>IF(VLOOKUP($A15,'STARTOVNÍ LISTINA'!$A$8:$E$37,2,0)="","",VLOOKUP($A15,'STARTOVNÍ LISTINA'!$A$8:$E$37,2,0))</f>
        <v>POKORNÁ Hana, pprap.</v>
      </c>
      <c r="C15" s="54" t="str">
        <f>IF(VLOOKUP($A15,'STARTOVNÍ LISTINA'!$A$8:$E$37,3,0)="","",VLOOKUP($A15,'STARTOVNÍ LISTINA'!$A$8:$E$37,3,0))</f>
        <v>HUBERT</v>
      </c>
      <c r="D15" s="54" t="str">
        <f>IF(VLOOKUP($A15,'STARTOVNÍ LISTINA'!$A$8:$E$37,4,0)="","",VLOOKUP($A15,'STARTOVNÍ LISTINA'!$A$8:$E$37,4,0))</f>
        <v>KŘP Zlínského kraje</v>
      </c>
      <c r="E15" s="90">
        <v>2.5267361111111111E-3</v>
      </c>
      <c r="F15" s="128">
        <f t="shared" si="0"/>
        <v>14</v>
      </c>
      <c r="G15" s="280">
        <v>5</v>
      </c>
      <c r="H15" s="281"/>
      <c r="I15" s="281"/>
      <c r="J15" s="281"/>
      <c r="K15" s="282"/>
      <c r="L15" s="87">
        <f t="shared" si="1"/>
        <v>19</v>
      </c>
      <c r="M15" s="85">
        <f t="shared" ca="1" si="20"/>
        <v>12</v>
      </c>
      <c r="N15" s="90">
        <v>1.4887731481481481E-3</v>
      </c>
      <c r="O15" s="128">
        <f t="shared" si="21"/>
        <v>0</v>
      </c>
      <c r="P15" s="93"/>
      <c r="Q15" s="81"/>
      <c r="R15" s="81"/>
      <c r="S15" s="81"/>
      <c r="T15" s="81"/>
      <c r="U15" s="87">
        <f t="shared" si="22"/>
        <v>0</v>
      </c>
      <c r="V15" s="24">
        <f t="shared" si="2"/>
        <v>8</v>
      </c>
      <c r="W15" s="11"/>
      <c r="X15" s="264">
        <f t="shared" ca="1" si="3"/>
        <v>10</v>
      </c>
      <c r="Y15" s="11"/>
      <c r="Z15" s="96">
        <v>8</v>
      </c>
      <c r="AB15" s="96" t="str">
        <f>IF(VLOOKUP(A15,'STARTOVNÍ LISTINA'!$A$8:$E$37,5,0)="POL","ANO","")</f>
        <v/>
      </c>
      <c r="AC15" s="259">
        <f t="shared" ca="1" si="23"/>
        <v>5.4594907407407402E-4</v>
      </c>
      <c r="AD15" s="87">
        <f ca="1">IF(AC15="","",VLOOKUP(AI15,$AK$8:AN$37,4,0))</f>
        <v>11</v>
      </c>
      <c r="AE15" s="268">
        <f t="shared" ca="1" si="24"/>
        <v>19.11</v>
      </c>
      <c r="AF15" s="87">
        <f t="shared" ca="1" si="25"/>
        <v>12</v>
      </c>
      <c r="AG15" s="103">
        <f t="shared" si="4"/>
        <v>8</v>
      </c>
      <c r="AI15" s="25">
        <v>8</v>
      </c>
      <c r="AJ15" s="261">
        <f t="shared" ca="1" si="26"/>
        <v>1.7719907407407398E-4</v>
      </c>
      <c r="AK15" s="275">
        <f t="shared" ca="1" si="27"/>
        <v>20</v>
      </c>
      <c r="AL15" s="272">
        <f t="shared" ca="1" si="5"/>
        <v>8.1300000000000008</v>
      </c>
      <c r="AM15" s="275">
        <f t="shared" ca="1" si="28"/>
        <v>18</v>
      </c>
      <c r="AN15" s="138">
        <f t="shared" si="29"/>
        <v>8</v>
      </c>
      <c r="AP15" s="107">
        <f t="shared" si="6"/>
        <v>1.4887731481481481E-3</v>
      </c>
      <c r="AQ15" s="124">
        <f t="shared" si="7"/>
        <v>0</v>
      </c>
      <c r="AR15" s="109">
        <f t="shared" si="8"/>
        <v>1.4887731481481481E-3</v>
      </c>
      <c r="AS15" s="103">
        <f t="shared" si="9"/>
        <v>8</v>
      </c>
      <c r="AU15" s="25">
        <v>8</v>
      </c>
      <c r="AV15" s="109">
        <f t="shared" si="30"/>
        <v>1.4887731481481481E-3</v>
      </c>
      <c r="AW15" s="137">
        <f t="shared" si="31"/>
        <v>8</v>
      </c>
      <c r="AX15" s="138">
        <f t="shared" si="32"/>
        <v>8</v>
      </c>
      <c r="AY15" s="120"/>
      <c r="AZ15" s="148">
        <f t="shared" ca="1" si="33"/>
        <v>14.526736111111111</v>
      </c>
      <c r="BA15" s="148">
        <f t="shared" ca="1" si="34"/>
        <v>8.0148877314814815</v>
      </c>
      <c r="BB15" s="148">
        <f t="shared" ca="1" si="35"/>
        <v>22.541623842592593</v>
      </c>
      <c r="BC15" s="131">
        <f t="shared" ca="1" si="10"/>
        <v>8</v>
      </c>
      <c r="BD15" s="4">
        <f t="shared" ca="1" si="36"/>
        <v>15.363234953703703</v>
      </c>
      <c r="BE15" s="4">
        <f t="shared" ca="1" si="37"/>
        <v>21</v>
      </c>
      <c r="BF15" s="147" t="str">
        <f t="shared" ca="1" si="38"/>
        <v>JOHN Přemysl, nstržm.</v>
      </c>
      <c r="BG15" s="153">
        <f t="shared" ca="1" si="11"/>
        <v>2.3491898148148148E-3</v>
      </c>
      <c r="BH15" s="154">
        <f t="shared" ca="1" si="12"/>
        <v>5</v>
      </c>
      <c r="BI15" s="154">
        <f t="shared" ca="1" si="13"/>
        <v>4</v>
      </c>
      <c r="BJ15" s="155">
        <f t="shared" ca="1" si="14"/>
        <v>1.404513888888889E-3</v>
      </c>
      <c r="BK15" s="156">
        <f t="shared" ca="1" si="15"/>
        <v>10</v>
      </c>
      <c r="BL15" s="156">
        <f t="shared" ca="1" si="16"/>
        <v>9</v>
      </c>
      <c r="BM15" s="157">
        <f t="shared" ca="1" si="39"/>
        <v>8</v>
      </c>
      <c r="BO15" s="149">
        <v>8</v>
      </c>
      <c r="BP15" s="149">
        <f t="shared" ca="1" si="40"/>
        <v>100.01486298894699</v>
      </c>
      <c r="BQ15" s="149">
        <f t="shared" ca="1" si="41"/>
        <v>19</v>
      </c>
      <c r="BR15" s="150" t="str">
        <f t="shared" ca="1" si="17"/>
        <v>HRADIL Tomáš, pprap.</v>
      </c>
      <c r="BS15" s="150" t="str">
        <f t="shared" ca="1" si="18"/>
        <v>ŽAGIR</v>
      </c>
      <c r="BT15" s="150" t="str">
        <f t="shared" ca="1" si="19"/>
        <v>KŘP hlavního města Prahy</v>
      </c>
      <c r="BV15" s="298">
        <f t="shared" si="42"/>
        <v>19</v>
      </c>
      <c r="BW15" s="296">
        <f t="shared" si="43"/>
        <v>1.4887731481481481E-3</v>
      </c>
      <c r="BX15" s="4">
        <v>8</v>
      </c>
      <c r="BY15" s="4">
        <f t="shared" si="44"/>
        <v>19.001488773148147</v>
      </c>
      <c r="BZ15" s="4">
        <v>8</v>
      </c>
      <c r="CA15" s="4">
        <f t="shared" si="45"/>
        <v>15.00140451388889</v>
      </c>
      <c r="CB15" s="5">
        <f t="shared" si="46"/>
        <v>21</v>
      </c>
    </row>
    <row r="16" spans="1:80" s="4" customFormat="1" ht="12.95" customHeight="1">
      <c r="A16" s="25">
        <v>9</v>
      </c>
      <c r="B16" s="23" t="str">
        <f>IF(VLOOKUP($A16,'STARTOVNÍ LISTINA'!$A$8:$E$37,2,0)="","",VLOOKUP($A16,'STARTOVNÍ LISTINA'!$A$8:$E$37,2,0))</f>
        <v>KUROPATNICKÁ Zuzana, nstržm.</v>
      </c>
      <c r="C16" s="54" t="str">
        <f>IF(VLOOKUP($A16,'STARTOVNÍ LISTINA'!$A$8:$E$37,3,0)="","",VLOOKUP($A16,'STARTOVNÍ LISTINA'!$A$8:$E$37,3,0))</f>
        <v>CASSIUS</v>
      </c>
      <c r="D16" s="54" t="str">
        <f>IF(VLOOKUP($A16,'STARTOVNÍ LISTINA'!$A$8:$E$37,4,0)="","",VLOOKUP($A16,'STARTOVNÍ LISTINA'!$A$8:$E$37,4,0))</f>
        <v>KŘP hlavního města Prahy</v>
      </c>
      <c r="E16" s="90" t="s">
        <v>150</v>
      </c>
      <c r="F16" s="128">
        <f t="shared" si="0"/>
        <v>0</v>
      </c>
      <c r="G16" s="280">
        <v>200</v>
      </c>
      <c r="H16" s="281"/>
      <c r="I16" s="281"/>
      <c r="J16" s="281"/>
      <c r="K16" s="282"/>
      <c r="L16" s="87">
        <f t="shared" si="1"/>
        <v>200</v>
      </c>
      <c r="M16" s="85" t="str">
        <f t="shared" si="20"/>
        <v>ELIM</v>
      </c>
      <c r="N16" s="90">
        <v>2.2123842592592594E-3</v>
      </c>
      <c r="O16" s="128">
        <f t="shared" si="21"/>
        <v>41</v>
      </c>
      <c r="P16" s="93">
        <v>10</v>
      </c>
      <c r="Q16" s="81">
        <v>10</v>
      </c>
      <c r="R16" s="81">
        <v>10</v>
      </c>
      <c r="S16" s="81"/>
      <c r="T16" s="81"/>
      <c r="U16" s="87">
        <f t="shared" si="22"/>
        <v>71</v>
      </c>
      <c r="V16" s="24">
        <f t="shared" si="2"/>
        <v>19</v>
      </c>
      <c r="W16" s="11"/>
      <c r="X16" s="264">
        <f t="shared" ca="1" si="3"/>
        <v>19</v>
      </c>
      <c r="Y16" s="11"/>
      <c r="Z16" s="96">
        <v>9</v>
      </c>
      <c r="AB16" s="96" t="str">
        <f>IF(VLOOKUP(A16,'STARTOVNÍ LISTINA'!$A$8:$E$37,5,0)="POL","ANO","")</f>
        <v/>
      </c>
      <c r="AC16" s="259">
        <f t="shared" ca="1" si="23"/>
        <v>5.0420290294112866E-2</v>
      </c>
      <c r="AD16" s="87">
        <f ca="1">IF(AC16="","",VLOOKUP(AI16,$AK$8:AN$37,4,0))</f>
        <v>16</v>
      </c>
      <c r="AE16" s="268">
        <f t="shared" ca="1" si="24"/>
        <v>1200.1600000000001</v>
      </c>
      <c r="AF16" s="87" t="str">
        <f t="shared" si="25"/>
        <v>ELIM</v>
      </c>
      <c r="AG16" s="103">
        <f t="shared" si="4"/>
        <v>9</v>
      </c>
      <c r="AI16" s="25">
        <v>9</v>
      </c>
      <c r="AJ16" s="261">
        <f t="shared" ca="1" si="26"/>
        <v>2.1365740740740763E-4</v>
      </c>
      <c r="AK16" s="275">
        <f t="shared" ca="1" si="27"/>
        <v>6</v>
      </c>
      <c r="AL16" s="272">
        <f t="shared" ca="1" si="5"/>
        <v>10.06</v>
      </c>
      <c r="AM16" s="275">
        <f t="shared" ca="1" si="28"/>
        <v>11</v>
      </c>
      <c r="AN16" s="138">
        <f t="shared" si="29"/>
        <v>9</v>
      </c>
      <c r="AP16" s="107">
        <f t="shared" si="6"/>
        <v>2.2123842592592594E-3</v>
      </c>
      <c r="AQ16" s="124">
        <f t="shared" si="7"/>
        <v>71</v>
      </c>
      <c r="AR16" s="109">
        <f t="shared" si="8"/>
        <v>3.0341435185185185E-3</v>
      </c>
      <c r="AS16" s="103">
        <f t="shared" si="9"/>
        <v>9</v>
      </c>
      <c r="AU16" s="25">
        <v>9</v>
      </c>
      <c r="AV16" s="109">
        <f t="shared" si="30"/>
        <v>1.5202546296296296E-3</v>
      </c>
      <c r="AW16" s="137">
        <f t="shared" si="31"/>
        <v>21</v>
      </c>
      <c r="AX16" s="138">
        <f t="shared" si="32"/>
        <v>9</v>
      </c>
      <c r="AY16" s="120"/>
      <c r="AZ16" s="148">
        <f t="shared" ca="1" si="33"/>
        <v>100.8467168760577</v>
      </c>
      <c r="BA16" s="148">
        <f t="shared" ca="1" si="34"/>
        <v>19.022123842592592</v>
      </c>
      <c r="BB16" s="148">
        <f t="shared" ca="1" si="35"/>
        <v>119.86884071865029</v>
      </c>
      <c r="BC16" s="131">
        <f t="shared" ca="1" si="10"/>
        <v>9</v>
      </c>
      <c r="BD16" s="4">
        <f t="shared" ca="1" si="36"/>
        <v>18.234082175925927</v>
      </c>
      <c r="BE16" s="4">
        <f t="shared" ca="1" si="37"/>
        <v>11</v>
      </c>
      <c r="BF16" s="147" t="str">
        <f t="shared" ca="1" si="38"/>
        <v>VYSLOUŽILOVÁ Martina, pprap.</v>
      </c>
      <c r="BG16" s="153">
        <f t="shared" ca="1" si="11"/>
        <v>2.2197916666666664E-3</v>
      </c>
      <c r="BH16" s="154">
        <f t="shared" ca="1" si="12"/>
        <v>10</v>
      </c>
      <c r="BI16" s="154">
        <f t="shared" ca="1" si="13"/>
        <v>9</v>
      </c>
      <c r="BJ16" s="155">
        <f t="shared" ca="1" si="14"/>
        <v>1.4290509259259258E-3</v>
      </c>
      <c r="BK16" s="156">
        <f t="shared" ca="1" si="15"/>
        <v>5</v>
      </c>
      <c r="BL16" s="156">
        <f t="shared" ca="1" si="16"/>
        <v>7</v>
      </c>
      <c r="BM16" s="157">
        <f t="shared" ca="1" si="39"/>
        <v>9</v>
      </c>
      <c r="BO16" s="149">
        <v>9</v>
      </c>
      <c r="BP16" s="149">
        <f t="shared" ca="1" si="40"/>
        <v>17.803125000000001</v>
      </c>
      <c r="BQ16" s="149">
        <f t="shared" ca="1" si="41"/>
        <v>10</v>
      </c>
      <c r="BR16" s="150" t="str">
        <f t="shared" ca="1" si="17"/>
        <v>BUROV Roman</v>
      </c>
      <c r="BS16" s="150" t="str">
        <f t="shared" ca="1" si="18"/>
        <v>BOSS (KŘP JMK)</v>
      </c>
      <c r="BT16" s="150" t="str">
        <f t="shared" ca="1" si="19"/>
        <v>RUSKO, Moskva</v>
      </c>
      <c r="BV16" s="298">
        <f t="shared" si="42"/>
        <v>271</v>
      </c>
      <c r="BW16" s="296">
        <f t="shared" si="43"/>
        <v>2.2123842592592594E-3</v>
      </c>
      <c r="BX16" s="4">
        <v>9</v>
      </c>
      <c r="BY16" s="4">
        <f t="shared" si="44"/>
        <v>271.00221238425928</v>
      </c>
      <c r="BZ16" s="4">
        <v>9</v>
      </c>
      <c r="CA16" s="4">
        <f t="shared" si="45"/>
        <v>15.001429050925926</v>
      </c>
      <c r="CB16" s="5">
        <f t="shared" si="46"/>
        <v>11</v>
      </c>
    </row>
    <row r="17" spans="1:80" s="4" customFormat="1" ht="12.95" customHeight="1">
      <c r="A17" s="25">
        <v>10</v>
      </c>
      <c r="B17" s="23" t="str">
        <f>IF(VLOOKUP($A17,'STARTOVNÍ LISTINA'!$A$8:$E$37,2,0)="","",VLOOKUP($A17,'STARTOVNÍ LISTINA'!$A$8:$E$37,2,0))</f>
        <v>BUROV Roman</v>
      </c>
      <c r="C17" s="54" t="str">
        <f>IF(VLOOKUP($A17,'STARTOVNÍ LISTINA'!$A$8:$E$37,3,0)="","",VLOOKUP($A17,'STARTOVNÍ LISTINA'!$A$8:$E$37,3,0))</f>
        <v>BOSS (KŘP JMK)</v>
      </c>
      <c r="D17" s="54" t="str">
        <f>IF(VLOOKUP($A17,'STARTOVNÍ LISTINA'!$A$8:$E$37,4,0)="","",VLOOKUP($A17,'STARTOVNÍ LISTINA'!$A$8:$E$37,4,0))</f>
        <v>RUSKO, Moskva</v>
      </c>
      <c r="E17" s="90">
        <v>3.8031249999999996E-3</v>
      </c>
      <c r="F17" s="128">
        <f t="shared" si="0"/>
        <v>124</v>
      </c>
      <c r="G17" s="280">
        <v>25</v>
      </c>
      <c r="H17" s="281"/>
      <c r="I17" s="281"/>
      <c r="J17" s="281"/>
      <c r="K17" s="282"/>
      <c r="L17" s="87">
        <f t="shared" si="1"/>
        <v>149</v>
      </c>
      <c r="M17" s="85">
        <f t="shared" ca="1" si="20"/>
        <v>14</v>
      </c>
      <c r="N17" s="90">
        <v>1.6746527777777777E-3</v>
      </c>
      <c r="O17" s="128">
        <f t="shared" si="21"/>
        <v>0</v>
      </c>
      <c r="P17" s="93"/>
      <c r="Q17" s="81"/>
      <c r="R17" s="81"/>
      <c r="S17" s="81"/>
      <c r="T17" s="81"/>
      <c r="U17" s="87">
        <f t="shared" si="22"/>
        <v>0</v>
      </c>
      <c r="V17" s="24">
        <f t="shared" si="2"/>
        <v>11</v>
      </c>
      <c r="W17" s="11"/>
      <c r="X17" s="264">
        <f t="shared" ca="1" si="3"/>
        <v>13</v>
      </c>
      <c r="Y17" s="11"/>
      <c r="Z17" s="96">
        <v>10</v>
      </c>
      <c r="AB17" s="96" t="str">
        <f>IF(VLOOKUP(A17,'STARTOVNÍ LISTINA'!$A$8:$E$37,5,0)="POL","ANO","")</f>
        <v/>
      </c>
      <c r="AC17" s="259">
        <f t="shared" ca="1" si="23"/>
        <v>7.3043981481481452E-4</v>
      </c>
      <c r="AD17" s="87">
        <f ca="1">IF(AC17="","",VLOOKUP(AI17,$AK$8:AN$37,4,0))</f>
        <v>14</v>
      </c>
      <c r="AE17" s="268">
        <f t="shared" ca="1" si="24"/>
        <v>149.13999999999999</v>
      </c>
      <c r="AF17" s="87">
        <f t="shared" ca="1" si="25"/>
        <v>14</v>
      </c>
      <c r="AG17" s="103">
        <f t="shared" si="4"/>
        <v>10</v>
      </c>
      <c r="AI17" s="25">
        <v>10</v>
      </c>
      <c r="AJ17" s="261">
        <f t="shared" ca="1" si="26"/>
        <v>5.4363425925925922E-4</v>
      </c>
      <c r="AK17" s="275">
        <f t="shared" ca="1" si="27"/>
        <v>4</v>
      </c>
      <c r="AL17" s="272">
        <f t="shared" ca="1" si="5"/>
        <v>10.09</v>
      </c>
      <c r="AM17" s="275">
        <f t="shared" ca="1" si="28"/>
        <v>6</v>
      </c>
      <c r="AN17" s="138">
        <f t="shared" si="29"/>
        <v>10</v>
      </c>
      <c r="AP17" s="107">
        <f t="shared" si="6"/>
        <v>1.6746527777777777E-3</v>
      </c>
      <c r="AQ17" s="124">
        <f t="shared" si="7"/>
        <v>0</v>
      </c>
      <c r="AR17" s="109">
        <f t="shared" si="8"/>
        <v>1.6746527777777777E-3</v>
      </c>
      <c r="AS17" s="103">
        <f t="shared" si="9"/>
        <v>10</v>
      </c>
      <c r="AU17" s="25">
        <v>10</v>
      </c>
      <c r="AV17" s="109">
        <f t="shared" si="30"/>
        <v>1.5238425925925925E-3</v>
      </c>
      <c r="AW17" s="137">
        <f t="shared" si="31"/>
        <v>20</v>
      </c>
      <c r="AX17" s="138">
        <f t="shared" si="32"/>
        <v>10</v>
      </c>
      <c r="AY17" s="120"/>
      <c r="AZ17" s="148">
        <f t="shared" ca="1" si="33"/>
        <v>17.803125000000001</v>
      </c>
      <c r="BA17" s="148">
        <f t="shared" ca="1" si="34"/>
        <v>11.016746527777778</v>
      </c>
      <c r="BB17" s="148">
        <f t="shared" ca="1" si="35"/>
        <v>28.819871527777778</v>
      </c>
      <c r="BC17" s="131">
        <f t="shared" ca="1" si="10"/>
        <v>10</v>
      </c>
      <c r="BD17" s="4">
        <f t="shared" ca="1" si="36"/>
        <v>22.541623842592593</v>
      </c>
      <c r="BE17" s="4">
        <f t="shared" ca="1" si="37"/>
        <v>8</v>
      </c>
      <c r="BF17" s="147" t="str">
        <f t="shared" ca="1" si="38"/>
        <v>POKORNÁ Hana, pprap.</v>
      </c>
      <c r="BG17" s="153">
        <f t="shared" ca="1" si="11"/>
        <v>2.5267361111111111E-3</v>
      </c>
      <c r="BH17" s="154">
        <f t="shared" ca="1" si="12"/>
        <v>19</v>
      </c>
      <c r="BI17" s="154">
        <f t="shared" ca="1" si="13"/>
        <v>12</v>
      </c>
      <c r="BJ17" s="155">
        <f t="shared" ca="1" si="14"/>
        <v>1.4887731481481481E-3</v>
      </c>
      <c r="BK17" s="156">
        <f t="shared" ca="1" si="15"/>
        <v>0</v>
      </c>
      <c r="BL17" s="156">
        <f t="shared" ca="1" si="16"/>
        <v>8</v>
      </c>
      <c r="BM17" s="157">
        <f t="shared" ca="1" si="39"/>
        <v>10</v>
      </c>
      <c r="BO17" s="149">
        <v>10</v>
      </c>
      <c r="BP17" s="149">
        <f t="shared" ca="1" si="40"/>
        <v>15.529050925925926</v>
      </c>
      <c r="BQ17" s="149">
        <f t="shared" ca="1" si="41"/>
        <v>4</v>
      </c>
      <c r="BR17" s="150" t="str">
        <f t="shared" ca="1" si="17"/>
        <v>ZGOLA Marián, ppráp.</v>
      </c>
      <c r="BS17" s="150" t="str">
        <f t="shared" ca="1" si="18"/>
        <v>LAPAZ 21</v>
      </c>
      <c r="BT17" s="150" t="str">
        <f t="shared" ca="1" si="19"/>
        <v>SLOVENSKO, Košice</v>
      </c>
      <c r="BV17" s="298">
        <f t="shared" si="42"/>
        <v>149</v>
      </c>
      <c r="BW17" s="296">
        <f t="shared" si="43"/>
        <v>1.6746527777777777E-3</v>
      </c>
      <c r="BX17" s="4">
        <v>10</v>
      </c>
      <c r="BY17" s="4">
        <f t="shared" si="44"/>
        <v>149.00167465277778</v>
      </c>
      <c r="BZ17" s="4">
        <v>10</v>
      </c>
      <c r="CA17" s="4">
        <f t="shared" si="45"/>
        <v>19.001488773148147</v>
      </c>
      <c r="CB17" s="5">
        <f t="shared" si="46"/>
        <v>8</v>
      </c>
    </row>
    <row r="18" spans="1:80" s="4" customFormat="1" ht="12.95" customHeight="1">
      <c r="A18" s="25">
        <v>11</v>
      </c>
      <c r="B18" s="23" t="str">
        <f>IF(VLOOKUP($A18,'STARTOVNÍ LISTINA'!$A$8:$E$37,2,0)="","",VLOOKUP($A18,'STARTOVNÍ LISTINA'!$A$8:$E$37,2,0))</f>
        <v>VYSLOUŽILOVÁ Martina, pprap.</v>
      </c>
      <c r="C18" s="54" t="str">
        <f>IF(VLOOKUP($A18,'STARTOVNÍ LISTINA'!$A$8:$E$37,3,0)="","",VLOOKUP($A18,'STARTOVNÍ LISTINA'!$A$8:$E$37,3,0))</f>
        <v>PRESTIGE</v>
      </c>
      <c r="D18" s="54" t="str">
        <f>IF(VLOOKUP($A18,'STARTOVNÍ LISTINA'!$A$8:$E$37,4,0)="","",VLOOKUP($A18,'STARTOVNÍ LISTINA'!$A$8:$E$37,4,0))</f>
        <v>KŘP Jihomoravského kraje</v>
      </c>
      <c r="E18" s="90">
        <v>2.2197916666666664E-3</v>
      </c>
      <c r="F18" s="128">
        <f t="shared" si="0"/>
        <v>0</v>
      </c>
      <c r="G18" s="280">
        <v>10</v>
      </c>
      <c r="H18" s="281"/>
      <c r="I18" s="281"/>
      <c r="J18" s="281"/>
      <c r="K18" s="282"/>
      <c r="L18" s="87">
        <f t="shared" si="1"/>
        <v>10</v>
      </c>
      <c r="M18" s="85">
        <f t="shared" ca="1" si="20"/>
        <v>9</v>
      </c>
      <c r="N18" s="90">
        <v>1.4290509259259258E-3</v>
      </c>
      <c r="O18" s="128">
        <f t="shared" si="21"/>
        <v>0</v>
      </c>
      <c r="P18" s="93">
        <v>5</v>
      </c>
      <c r="Q18" s="81"/>
      <c r="R18" s="81"/>
      <c r="S18" s="81"/>
      <c r="T18" s="81"/>
      <c r="U18" s="87">
        <f t="shared" si="22"/>
        <v>5</v>
      </c>
      <c r="V18" s="24">
        <f t="shared" si="2"/>
        <v>7</v>
      </c>
      <c r="W18" s="11"/>
      <c r="X18" s="264">
        <f t="shared" ca="1" si="3"/>
        <v>9</v>
      </c>
      <c r="Y18" s="11"/>
      <c r="Z18" s="96">
        <v>11</v>
      </c>
      <c r="AB18" s="96" t="str">
        <f>IF(VLOOKUP(A18,'STARTOVNÍ LISTINA'!$A$8:$E$37,5,0)="POL","ANO","")</f>
        <v/>
      </c>
      <c r="AC18" s="259">
        <f t="shared" ca="1" si="23"/>
        <v>1.5289351851851879E-4</v>
      </c>
      <c r="AD18" s="87">
        <f ca="1">IF(AC18="","",VLOOKUP(AI18,$AK$8:AN$37,4,0))</f>
        <v>6</v>
      </c>
      <c r="AE18" s="268">
        <f t="shared" ca="1" si="24"/>
        <v>10.06</v>
      </c>
      <c r="AF18" s="87">
        <f t="shared" ca="1" si="25"/>
        <v>9</v>
      </c>
      <c r="AG18" s="103">
        <f t="shared" si="4"/>
        <v>11</v>
      </c>
      <c r="AI18" s="25">
        <v>11</v>
      </c>
      <c r="AJ18" s="261">
        <f t="shared" ca="1" si="26"/>
        <v>5.4594907407407402E-4</v>
      </c>
      <c r="AK18" s="275">
        <f t="shared" ca="1" si="27"/>
        <v>8</v>
      </c>
      <c r="AL18" s="272">
        <f t="shared" ca="1" si="5"/>
        <v>18.12</v>
      </c>
      <c r="AM18" s="275">
        <f t="shared" ca="1" si="28"/>
        <v>17</v>
      </c>
      <c r="AN18" s="138">
        <f t="shared" si="29"/>
        <v>11</v>
      </c>
      <c r="AP18" s="107">
        <f t="shared" si="6"/>
        <v>1.4290509259259258E-3</v>
      </c>
      <c r="AQ18" s="124">
        <f t="shared" si="7"/>
        <v>5</v>
      </c>
      <c r="AR18" s="109">
        <f t="shared" si="8"/>
        <v>1.4869212962962963E-3</v>
      </c>
      <c r="AS18" s="103">
        <f t="shared" si="9"/>
        <v>11</v>
      </c>
      <c r="AU18" s="25">
        <v>11</v>
      </c>
      <c r="AV18" s="109">
        <f t="shared" si="30"/>
        <v>1.6746527777777777E-3</v>
      </c>
      <c r="AW18" s="137">
        <f t="shared" si="31"/>
        <v>10</v>
      </c>
      <c r="AX18" s="138">
        <f t="shared" si="32"/>
        <v>11</v>
      </c>
      <c r="AY18" s="120"/>
      <c r="AZ18" s="148">
        <f t="shared" ca="1" si="33"/>
        <v>11.219791666666666</v>
      </c>
      <c r="BA18" s="148">
        <f t="shared" ca="1" si="34"/>
        <v>7.0142905092592596</v>
      </c>
      <c r="BB18" s="148">
        <f t="shared" ca="1" si="35"/>
        <v>18.234082175925927</v>
      </c>
      <c r="BC18" s="131">
        <f t="shared" ca="1" si="10"/>
        <v>11</v>
      </c>
      <c r="BD18" s="4">
        <f t="shared" ca="1" si="36"/>
        <v>24.275643518518518</v>
      </c>
      <c r="BE18" s="4">
        <f t="shared" ca="1" si="37"/>
        <v>7</v>
      </c>
      <c r="BF18" s="147" t="str">
        <f t="shared" ca="1" si="38"/>
        <v>NOVÁK Tomáš, str.</v>
      </c>
      <c r="BG18" s="153">
        <f t="shared" ca="1" si="11"/>
        <v>2.2587962962962965E-3</v>
      </c>
      <c r="BH18" s="154">
        <f t="shared" ca="1" si="12"/>
        <v>5</v>
      </c>
      <c r="BI18" s="154">
        <f t="shared" ca="1" si="13"/>
        <v>7</v>
      </c>
      <c r="BJ18" s="155">
        <f t="shared" ca="1" si="14"/>
        <v>1.6847222222222222E-3</v>
      </c>
      <c r="BK18" s="156">
        <f t="shared" ca="1" si="15"/>
        <v>25</v>
      </c>
      <c r="BL18" s="156">
        <f t="shared" ca="1" si="16"/>
        <v>15</v>
      </c>
      <c r="BM18" s="157">
        <f t="shared" ca="1" si="39"/>
        <v>11</v>
      </c>
      <c r="BO18" s="149">
        <v>11</v>
      </c>
      <c r="BP18" s="149">
        <f t="shared" ca="1" si="40"/>
        <v>14.526736111111111</v>
      </c>
      <c r="BQ18" s="149">
        <f t="shared" ca="1" si="41"/>
        <v>8</v>
      </c>
      <c r="BR18" s="150" t="str">
        <f t="shared" ca="1" si="17"/>
        <v>POKORNÁ Hana, pprap.</v>
      </c>
      <c r="BS18" s="150" t="str">
        <f t="shared" ca="1" si="18"/>
        <v>HUBERT</v>
      </c>
      <c r="BT18" s="150" t="str">
        <f t="shared" ca="1" si="19"/>
        <v>KŘP Zlínského kraje</v>
      </c>
      <c r="BV18" s="298">
        <f t="shared" si="42"/>
        <v>15</v>
      </c>
      <c r="BW18" s="296">
        <f t="shared" si="43"/>
        <v>1.4290509259259258E-3</v>
      </c>
      <c r="BX18" s="4">
        <v>11</v>
      </c>
      <c r="BY18" s="4">
        <f t="shared" si="44"/>
        <v>15.001429050925926</v>
      </c>
      <c r="BZ18" s="4">
        <v>11</v>
      </c>
      <c r="CA18" s="4">
        <f t="shared" si="45"/>
        <v>30.001684722222222</v>
      </c>
      <c r="CB18" s="5">
        <f t="shared" si="46"/>
        <v>7</v>
      </c>
    </row>
    <row r="19" spans="1:80" s="4" customFormat="1" ht="12.95" customHeight="1">
      <c r="A19" s="25">
        <v>12</v>
      </c>
      <c r="B19" s="23" t="str">
        <f>IF(VLOOKUP($A19,'STARTOVNÍ LISTINA'!$A$8:$E$37,2,0)="","",VLOOKUP($A19,'STARTOVNÍ LISTINA'!$A$8:$E$37,2,0))</f>
        <v>TRNKOVÁ Simona, str.</v>
      </c>
      <c r="C19" s="54" t="str">
        <f>IF(VLOOKUP($A19,'STARTOVNÍ LISTINA'!$A$8:$E$37,3,0)="","",VLOOKUP($A19,'STARTOVNÍ LISTINA'!$A$8:$E$37,3,0))</f>
        <v>SOLO XALA</v>
      </c>
      <c r="D19" s="54" t="str">
        <f>IF(VLOOKUP($A19,'STARTOVNÍ LISTINA'!$A$8:$E$37,4,0)="","",VLOOKUP($A19,'STARTOVNÍ LISTINA'!$A$8:$E$37,4,0))</f>
        <v>MP Praha</v>
      </c>
      <c r="E19" s="90" t="s">
        <v>150</v>
      </c>
      <c r="F19" s="128">
        <f>IF(E19="–",0,IF(E19&gt;$M$6,CEILING((E19-$M$6)*86400,1),0))</f>
        <v>0</v>
      </c>
      <c r="G19" s="280">
        <v>200</v>
      </c>
      <c r="H19" s="281"/>
      <c r="I19" s="281"/>
      <c r="J19" s="281"/>
      <c r="K19" s="282"/>
      <c r="L19" s="87">
        <f t="shared" si="1"/>
        <v>200</v>
      </c>
      <c r="M19" s="85" t="str">
        <f t="shared" si="20"/>
        <v>ELIM</v>
      </c>
      <c r="N19" s="90">
        <v>2.0254629629629629E-3</v>
      </c>
      <c r="O19" s="128">
        <f t="shared" si="21"/>
        <v>25</v>
      </c>
      <c r="P19" s="93">
        <v>10</v>
      </c>
      <c r="Q19" s="81">
        <v>30</v>
      </c>
      <c r="R19" s="81">
        <v>5</v>
      </c>
      <c r="S19" s="81">
        <v>10</v>
      </c>
      <c r="T19" s="81">
        <v>5</v>
      </c>
      <c r="U19" s="87">
        <f t="shared" si="22"/>
        <v>85</v>
      </c>
      <c r="V19" s="24">
        <f t="shared" si="2"/>
        <v>18</v>
      </c>
      <c r="W19" s="11"/>
      <c r="X19" s="264">
        <f t="shared" ca="1" si="3"/>
        <v>18</v>
      </c>
      <c r="Y19" s="11"/>
      <c r="Z19" s="96">
        <v>12</v>
      </c>
      <c r="AB19" s="96" t="str">
        <f>IF(VLOOKUP(A19,'STARTOVNÍ LISTINA'!$A$8:$E$37,5,0)="POL","ANO","")</f>
        <v/>
      </c>
      <c r="AC19" s="259">
        <f t="shared" ca="1" si="23"/>
        <v>0.7271979903909791</v>
      </c>
      <c r="AD19" s="87">
        <f ca="1">IF(AC19="","",VLOOKUP(AI19,$AK$8:AN$37,4,0))</f>
        <v>20</v>
      </c>
      <c r="AE19" s="268">
        <f t="shared" ca="1" si="24"/>
        <v>1200.2</v>
      </c>
      <c r="AF19" s="87" t="str">
        <f t="shared" si="25"/>
        <v>ELIM</v>
      </c>
      <c r="AG19" s="103">
        <f t="shared" si="4"/>
        <v>12</v>
      </c>
      <c r="AI19" s="25">
        <v>12</v>
      </c>
      <c r="AJ19" s="261">
        <f t="shared" ca="1" si="26"/>
        <v>6.1643518518518547E-4</v>
      </c>
      <c r="AK19" s="275">
        <f t="shared" ca="1" si="27"/>
        <v>17</v>
      </c>
      <c r="AL19" s="272">
        <f t="shared" ca="1" si="5"/>
        <v>19.11</v>
      </c>
      <c r="AM19" s="275">
        <f t="shared" ca="1" si="28"/>
        <v>8</v>
      </c>
      <c r="AN19" s="138">
        <f t="shared" si="29"/>
        <v>12</v>
      </c>
      <c r="AP19" s="107">
        <f t="shared" si="6"/>
        <v>2.0254629629629629E-3</v>
      </c>
      <c r="AQ19" s="124">
        <f t="shared" si="7"/>
        <v>85</v>
      </c>
      <c r="AR19" s="109">
        <f t="shared" si="8"/>
        <v>3.0092592592592593E-3</v>
      </c>
      <c r="AS19" s="103">
        <f t="shared" si="9"/>
        <v>12</v>
      </c>
      <c r="AU19" s="25">
        <v>12</v>
      </c>
      <c r="AV19" s="109">
        <f t="shared" si="30"/>
        <v>1.7325231481481482E-3</v>
      </c>
      <c r="AW19" s="137">
        <f t="shared" si="31"/>
        <v>19</v>
      </c>
      <c r="AX19" s="138">
        <f t="shared" si="32"/>
        <v>12</v>
      </c>
      <c r="AY19" s="120"/>
      <c r="AZ19" s="148">
        <f t="shared" ca="1" si="33"/>
        <v>100.86993867929287</v>
      </c>
      <c r="BA19" s="148">
        <f t="shared" ca="1" si="34"/>
        <v>18.02025462962963</v>
      </c>
      <c r="BB19" s="148">
        <f t="shared" ca="1" si="35"/>
        <v>118.89019330892251</v>
      </c>
      <c r="BC19" s="131">
        <f t="shared" ca="1" si="10"/>
        <v>12</v>
      </c>
      <c r="BD19" s="4">
        <f t="shared" ca="1" si="36"/>
        <v>26.472836805555556</v>
      </c>
      <c r="BE19" s="4">
        <f t="shared" ca="1" si="37"/>
        <v>17</v>
      </c>
      <c r="BF19" s="147" t="str">
        <f t="shared" ca="1" si="38"/>
        <v>SVOBODA Lukáš, nstržm.</v>
      </c>
      <c r="BG19" s="153">
        <f t="shared" ca="1" si="11"/>
        <v>2.4562499999999997E-3</v>
      </c>
      <c r="BH19" s="154">
        <f t="shared" ca="1" si="12"/>
        <v>18</v>
      </c>
      <c r="BI19" s="154">
        <f t="shared" ca="1" si="13"/>
        <v>11</v>
      </c>
      <c r="BJ19" s="155">
        <f t="shared" ca="1" si="14"/>
        <v>1.6586805555555556E-3</v>
      </c>
      <c r="BK19" s="156">
        <f t="shared" ca="1" si="15"/>
        <v>20</v>
      </c>
      <c r="BL19" s="156">
        <f t="shared" ca="1" si="16"/>
        <v>13</v>
      </c>
      <c r="BM19" s="157">
        <f t="shared" ca="1" si="39"/>
        <v>12</v>
      </c>
      <c r="BO19" s="149">
        <v>12</v>
      </c>
      <c r="BP19" s="149">
        <f t="shared" ca="1" si="40"/>
        <v>13.456250000000001</v>
      </c>
      <c r="BQ19" s="149">
        <f t="shared" ca="1" si="41"/>
        <v>17</v>
      </c>
      <c r="BR19" s="150" t="str">
        <f t="shared" ca="1" si="17"/>
        <v>SVOBODA Lukáš, nstržm.</v>
      </c>
      <c r="BS19" s="150" t="str">
        <f t="shared" ca="1" si="18"/>
        <v>SANTÉ</v>
      </c>
      <c r="BT19" s="150" t="str">
        <f t="shared" ca="1" si="19"/>
        <v>KŘP hlavního města Prahy</v>
      </c>
      <c r="BV19" s="298">
        <f t="shared" si="42"/>
        <v>285</v>
      </c>
      <c r="BW19" s="296">
        <f t="shared" si="43"/>
        <v>2.0254629629629629E-3</v>
      </c>
      <c r="BX19" s="4">
        <v>12</v>
      </c>
      <c r="BY19" s="4">
        <f t="shared" si="44"/>
        <v>285.00202546296299</v>
      </c>
      <c r="BZ19" s="4">
        <v>12</v>
      </c>
      <c r="CA19" s="4">
        <f t="shared" si="45"/>
        <v>38.001658680555558</v>
      </c>
      <c r="CB19" s="5">
        <f t="shared" si="46"/>
        <v>17</v>
      </c>
    </row>
    <row r="20" spans="1:80" s="4" customFormat="1" ht="12.95" customHeight="1">
      <c r="A20" s="25">
        <v>13</v>
      </c>
      <c r="B20" s="23" t="str">
        <f>IF(VLOOKUP($A20,'STARTOVNÍ LISTINA'!$A$8:$E$37,2,0)="","",VLOOKUP($A20,'STARTOVNÍ LISTINA'!$A$8:$E$37,2,0))</f>
        <v>BONK Christin</v>
      </c>
      <c r="C20" s="54" t="str">
        <f>IF(VLOOKUP($A20,'STARTOVNÍ LISTINA'!$A$8:$E$37,3,0)="","",VLOOKUP($A20,'STARTOVNÍ LISTINA'!$A$8:$E$37,3,0))</f>
        <v>KRISTAL</v>
      </c>
      <c r="D20" s="54" t="str">
        <f>IF(VLOOKUP($A20,'STARTOVNÍ LISTINA'!$A$8:$E$37,4,0)="","",VLOOKUP($A20,'STARTOVNÍ LISTINA'!$A$8:$E$37,4,0))</f>
        <v>NĚMECKO, Sasko</v>
      </c>
      <c r="E20" s="90">
        <v>2.3078703703703703E-3</v>
      </c>
      <c r="F20" s="128">
        <f t="shared" ref="F20:F37" si="47">IF(E20="–",0,IF(E20&gt;$M$6,CEILING((E20-$M$6)*86400,1),0))</f>
        <v>0</v>
      </c>
      <c r="G20" s="280">
        <v>5</v>
      </c>
      <c r="H20" s="281"/>
      <c r="I20" s="281"/>
      <c r="J20" s="281"/>
      <c r="K20" s="282"/>
      <c r="L20" s="87">
        <f t="shared" si="1"/>
        <v>5</v>
      </c>
      <c r="M20" s="85">
        <f t="shared" ca="1" si="20"/>
        <v>6</v>
      </c>
      <c r="N20" s="90">
        <v>1.4612268518518518E-3</v>
      </c>
      <c r="O20" s="128">
        <f t="shared" si="21"/>
        <v>0</v>
      </c>
      <c r="P20" s="93"/>
      <c r="Q20" s="81"/>
      <c r="R20" s="81"/>
      <c r="S20" s="81"/>
      <c r="T20" s="81"/>
      <c r="U20" s="87">
        <f t="shared" si="22"/>
        <v>0</v>
      </c>
      <c r="V20" s="24">
        <f t="shared" si="2"/>
        <v>6</v>
      </c>
      <c r="W20" s="11"/>
      <c r="X20" s="264">
        <f t="shared" ca="1" si="3"/>
        <v>6</v>
      </c>
      <c r="Y20" s="11"/>
      <c r="Z20" s="96">
        <v>13</v>
      </c>
      <c r="AB20" s="96" t="str">
        <f>IF(VLOOKUP(A20,'STARTOVNÍ LISTINA'!$A$8:$E$37,5,0)="POL","ANO","")</f>
        <v/>
      </c>
      <c r="AC20" s="259">
        <f t="shared" ca="1" si="23"/>
        <v>6.4814814814814856E-5</v>
      </c>
      <c r="AD20" s="87">
        <f ca="1">IF(AC20="","",VLOOKUP(AI20,$AK$8:AN$37,4,0))</f>
        <v>4</v>
      </c>
      <c r="AE20" s="268">
        <f t="shared" ca="1" si="24"/>
        <v>5.04</v>
      </c>
      <c r="AF20" s="87">
        <f t="shared" ca="1" si="25"/>
        <v>6</v>
      </c>
      <c r="AG20" s="103">
        <f t="shared" si="4"/>
        <v>13</v>
      </c>
      <c r="AI20" s="25">
        <v>13</v>
      </c>
      <c r="AJ20" s="261">
        <f t="shared" ca="1" si="26"/>
        <v>6.7395833333333316E-4</v>
      </c>
      <c r="AK20" s="275">
        <f t="shared" ca="1" si="27"/>
        <v>18</v>
      </c>
      <c r="AL20" s="272">
        <f t="shared" ca="1" si="5"/>
        <v>24.1</v>
      </c>
      <c r="AM20" s="275">
        <f t="shared" ca="1" si="28"/>
        <v>4</v>
      </c>
      <c r="AN20" s="138">
        <f t="shared" si="29"/>
        <v>13</v>
      </c>
      <c r="AP20" s="107">
        <f t="shared" si="6"/>
        <v>1.4612268518518518E-3</v>
      </c>
      <c r="AQ20" s="124">
        <f t="shared" si="7"/>
        <v>0</v>
      </c>
      <c r="AR20" s="109">
        <f t="shared" si="8"/>
        <v>1.4612268518518518E-3</v>
      </c>
      <c r="AS20" s="103">
        <f t="shared" si="9"/>
        <v>13</v>
      </c>
      <c r="AU20" s="25">
        <v>13</v>
      </c>
      <c r="AV20" s="109">
        <f t="shared" si="30"/>
        <v>1.890162037037037E-3</v>
      </c>
      <c r="AW20" s="137">
        <f t="shared" si="31"/>
        <v>17</v>
      </c>
      <c r="AX20" s="138">
        <f t="shared" si="32"/>
        <v>13</v>
      </c>
      <c r="AY20" s="120"/>
      <c r="AZ20" s="148">
        <f t="shared" ca="1" si="33"/>
        <v>8.3078703703703702</v>
      </c>
      <c r="BA20" s="148">
        <f t="shared" ca="1" si="34"/>
        <v>6.0146122685185182</v>
      </c>
      <c r="BB20" s="148">
        <f t="shared" ca="1" si="35"/>
        <v>14.322482638888889</v>
      </c>
      <c r="BC20" s="131">
        <f t="shared" ca="1" si="10"/>
        <v>13</v>
      </c>
      <c r="BD20" s="4">
        <f t="shared" ca="1" si="36"/>
        <v>28.819871527777778</v>
      </c>
      <c r="BE20" s="4">
        <f t="shared" ca="1" si="37"/>
        <v>10</v>
      </c>
      <c r="BF20" s="147" t="str">
        <f t="shared" ca="1" si="38"/>
        <v>BUROV Roman</v>
      </c>
      <c r="BG20" s="153">
        <f t="shared" ca="1" si="11"/>
        <v>3.8031249999999996E-3</v>
      </c>
      <c r="BH20" s="154">
        <f t="shared" ca="1" si="12"/>
        <v>149</v>
      </c>
      <c r="BI20" s="154">
        <f t="shared" ca="1" si="13"/>
        <v>14</v>
      </c>
      <c r="BJ20" s="155">
        <f t="shared" ca="1" si="14"/>
        <v>1.6746527777777777E-3</v>
      </c>
      <c r="BK20" s="156">
        <f t="shared" ca="1" si="15"/>
        <v>0</v>
      </c>
      <c r="BL20" s="156">
        <f t="shared" ca="1" si="16"/>
        <v>11</v>
      </c>
      <c r="BM20" s="157">
        <f t="shared" ca="1" si="39"/>
        <v>13</v>
      </c>
      <c r="BO20" s="149">
        <v>13</v>
      </c>
      <c r="BP20" s="149">
        <f t="shared" ca="1" si="40"/>
        <v>12.159027777777776</v>
      </c>
      <c r="BQ20" s="149">
        <f t="shared" ca="1" si="41"/>
        <v>6</v>
      </c>
      <c r="BR20" s="150" t="str">
        <f t="shared" ca="1" si="17"/>
        <v>BŘEČKA Dalibor, pprap.</v>
      </c>
      <c r="BS20" s="150" t="str">
        <f t="shared" ca="1" si="18"/>
        <v>TAJFUN</v>
      </c>
      <c r="BT20" s="150" t="str">
        <f t="shared" ca="1" si="19"/>
        <v>KŘP Zlínského kraje</v>
      </c>
      <c r="BV20" s="298">
        <f t="shared" si="42"/>
        <v>5</v>
      </c>
      <c r="BW20" s="296">
        <f t="shared" si="43"/>
        <v>1.4612268518518518E-3</v>
      </c>
      <c r="BX20" s="4">
        <v>13</v>
      </c>
      <c r="BY20" s="4">
        <f t="shared" si="44"/>
        <v>5.0014612268518519</v>
      </c>
      <c r="BZ20" s="4">
        <v>13</v>
      </c>
      <c r="CA20" s="4">
        <f t="shared" si="45"/>
        <v>42.001948148148145</v>
      </c>
      <c r="CB20" s="5">
        <f t="shared" si="46"/>
        <v>4</v>
      </c>
    </row>
    <row r="21" spans="1:80" s="4" customFormat="1" ht="12.95" customHeight="1">
      <c r="A21" s="25">
        <v>14</v>
      </c>
      <c r="B21" s="23" t="str">
        <f>IF(VLOOKUP($A21,'STARTOVNÍ LISTINA'!$A$8:$E$37,2,0)="","",VLOOKUP($A21,'STARTOVNÍ LISTINA'!$A$8:$E$37,2,0))</f>
        <v>OSTŘANSKÁ Renata, nstržm.</v>
      </c>
      <c r="C21" s="54" t="str">
        <f>IF(VLOOKUP($A21,'STARTOVNÍ LISTINA'!$A$8:$E$37,3,0)="","",VLOOKUP($A21,'STARTOVNÍ LISTINA'!$A$8:$E$37,3,0))</f>
        <v>VIZIR</v>
      </c>
      <c r="D21" s="54" t="str">
        <f>IF(VLOOKUP($A21,'STARTOVNÍ LISTINA'!$A$8:$E$37,4,0)="","",VLOOKUP($A21,'STARTOVNÍ LISTINA'!$A$8:$E$37,4,0))</f>
        <v>KŘP Jihomoravského kraje</v>
      </c>
      <c r="E21" s="90">
        <v>2.3365740740740738E-3</v>
      </c>
      <c r="F21" s="128">
        <f t="shared" si="47"/>
        <v>0</v>
      </c>
      <c r="G21" s="280">
        <v>5</v>
      </c>
      <c r="H21" s="281"/>
      <c r="I21" s="281"/>
      <c r="J21" s="281"/>
      <c r="K21" s="282"/>
      <c r="L21" s="87">
        <f t="shared" si="1"/>
        <v>5</v>
      </c>
      <c r="M21" s="85">
        <f t="shared" ca="1" si="20"/>
        <v>5</v>
      </c>
      <c r="N21" s="90">
        <v>1.356712962962963E-3</v>
      </c>
      <c r="O21" s="128">
        <f t="shared" si="21"/>
        <v>0</v>
      </c>
      <c r="P21" s="93"/>
      <c r="Q21" s="81"/>
      <c r="R21" s="81"/>
      <c r="S21" s="81"/>
      <c r="T21" s="81"/>
      <c r="U21" s="87">
        <f t="shared" si="22"/>
        <v>0</v>
      </c>
      <c r="V21" s="24">
        <f t="shared" si="2"/>
        <v>5</v>
      </c>
      <c r="W21" s="11"/>
      <c r="X21" s="264">
        <f t="shared" ca="1" si="3"/>
        <v>3</v>
      </c>
      <c r="Y21" s="11"/>
      <c r="Z21" s="96">
        <v>14</v>
      </c>
      <c r="AB21" s="96" t="str">
        <f>IF(VLOOKUP(A21,'STARTOVNÍ LISTINA'!$A$8:$E$37,5,0)="POL","ANO","")</f>
        <v/>
      </c>
      <c r="AC21" s="259">
        <f t="shared" ca="1" si="23"/>
        <v>3.6111111111111326E-5</v>
      </c>
      <c r="AD21" s="87">
        <f ca="1">IF(AC21="","",VLOOKUP(AI21,$AK$8:AN$37,4,0))</f>
        <v>3</v>
      </c>
      <c r="AE21" s="268">
        <f t="shared" ca="1" si="24"/>
        <v>5.03</v>
      </c>
      <c r="AF21" s="87">
        <f t="shared" ca="1" si="25"/>
        <v>5</v>
      </c>
      <c r="AG21" s="103">
        <f t="shared" si="4"/>
        <v>14</v>
      </c>
      <c r="AI21" s="25">
        <v>14</v>
      </c>
      <c r="AJ21" s="261">
        <f t="shared" ca="1" si="26"/>
        <v>7.3043981481481452E-4</v>
      </c>
      <c r="AK21" s="275">
        <f t="shared" ca="1" si="27"/>
        <v>10</v>
      </c>
      <c r="AL21" s="272">
        <f t="shared" ca="1" si="5"/>
        <v>149.13999999999999</v>
      </c>
      <c r="AM21" s="275">
        <f t="shared" ca="1" si="28"/>
        <v>10</v>
      </c>
      <c r="AN21" s="138">
        <f t="shared" si="29"/>
        <v>14</v>
      </c>
      <c r="AP21" s="107">
        <f t="shared" si="6"/>
        <v>1.356712962962963E-3</v>
      </c>
      <c r="AQ21" s="124">
        <f t="shared" si="7"/>
        <v>0</v>
      </c>
      <c r="AR21" s="109">
        <f t="shared" si="8"/>
        <v>1.356712962962963E-3</v>
      </c>
      <c r="AS21" s="103">
        <f t="shared" si="9"/>
        <v>14</v>
      </c>
      <c r="AU21" s="25">
        <v>14</v>
      </c>
      <c r="AV21" s="109">
        <f t="shared" si="30"/>
        <v>1.9079861111111112E-3</v>
      </c>
      <c r="AW21" s="137">
        <f t="shared" si="31"/>
        <v>3</v>
      </c>
      <c r="AX21" s="138">
        <f t="shared" si="32"/>
        <v>14</v>
      </c>
      <c r="AY21" s="120"/>
      <c r="AZ21" s="148">
        <f t="shared" ca="1" si="33"/>
        <v>7.3365740740740737</v>
      </c>
      <c r="BA21" s="148">
        <f t="shared" ca="1" si="34"/>
        <v>5.0135671296296298</v>
      </c>
      <c r="BB21" s="148">
        <f t="shared" ca="1" si="35"/>
        <v>12.350141203703703</v>
      </c>
      <c r="BC21" s="131">
        <f t="shared" ca="1" si="10"/>
        <v>14</v>
      </c>
      <c r="BD21" s="4">
        <f t="shared" ca="1" si="36"/>
        <v>32.548532407407407</v>
      </c>
      <c r="BE21" s="4">
        <f t="shared" ca="1" si="37"/>
        <v>4</v>
      </c>
      <c r="BF21" s="147" t="str">
        <f t="shared" ca="1" si="38"/>
        <v>ZGOLA Marián, ppráp.</v>
      </c>
      <c r="BG21" s="153">
        <f t="shared" ca="1" si="11"/>
        <v>2.5290509259259259E-3</v>
      </c>
      <c r="BH21" s="154">
        <f t="shared" ca="1" si="12"/>
        <v>24</v>
      </c>
      <c r="BI21" s="154">
        <f t="shared" ca="1" si="13"/>
        <v>13</v>
      </c>
      <c r="BJ21" s="155">
        <f t="shared" ca="1" si="14"/>
        <v>1.9481481481481483E-3</v>
      </c>
      <c r="BK21" s="156">
        <f t="shared" ca="1" si="15"/>
        <v>18</v>
      </c>
      <c r="BL21" s="156">
        <f t="shared" ca="1" si="16"/>
        <v>17</v>
      </c>
      <c r="BM21" s="157">
        <f t="shared" ca="1" si="39"/>
        <v>14</v>
      </c>
      <c r="BO21" s="149">
        <v>14</v>
      </c>
      <c r="BP21" s="149">
        <f t="shared" ca="1" si="40"/>
        <v>11.219791666666666</v>
      </c>
      <c r="BQ21" s="149">
        <f t="shared" ca="1" si="41"/>
        <v>11</v>
      </c>
      <c r="BR21" s="150" t="str">
        <f t="shared" ca="1" si="17"/>
        <v>VYSLOUŽILOVÁ Martina, pprap.</v>
      </c>
      <c r="BS21" s="150" t="str">
        <f t="shared" ca="1" si="18"/>
        <v>PRESTIGE</v>
      </c>
      <c r="BT21" s="150" t="str">
        <f t="shared" ca="1" si="19"/>
        <v>KŘP Jihomoravského kraje</v>
      </c>
      <c r="BV21" s="298">
        <f t="shared" si="42"/>
        <v>5</v>
      </c>
      <c r="BW21" s="296">
        <f t="shared" si="43"/>
        <v>1.356712962962963E-3</v>
      </c>
      <c r="BX21" s="4">
        <v>14</v>
      </c>
      <c r="BY21" s="4">
        <f t="shared" si="44"/>
        <v>5.0013567129629628</v>
      </c>
      <c r="BZ21" s="4">
        <v>14</v>
      </c>
      <c r="CA21" s="4">
        <f t="shared" si="45"/>
        <v>149.00167465277778</v>
      </c>
      <c r="CB21" s="5">
        <f t="shared" si="46"/>
        <v>10</v>
      </c>
    </row>
    <row r="22" spans="1:80" s="4" customFormat="1" ht="12.95" customHeight="1">
      <c r="A22" s="25">
        <v>15</v>
      </c>
      <c r="B22" s="23" t="str">
        <f>IF(VLOOKUP($A22,'STARTOVNÍ LISTINA'!$A$8:$E$37,2,0)="","",VLOOKUP($A22,'STARTOVNÍ LISTINA'!$A$8:$E$37,2,0))</f>
        <v>PETROVIČ Zbyněk, str.</v>
      </c>
      <c r="C22" s="54" t="str">
        <f>IF(VLOOKUP($A22,'STARTOVNÍ LISTINA'!$A$8:$E$37,3,0)="","",VLOOKUP($A22,'STARTOVNÍ LISTINA'!$A$8:$E$37,3,0))</f>
        <v>ROMKE FAVIDA</v>
      </c>
      <c r="D22" s="54" t="str">
        <f>IF(VLOOKUP($A22,'STARTOVNÍ LISTINA'!$A$8:$E$37,4,0)="","",VLOOKUP($A22,'STARTOVNÍ LISTINA'!$A$8:$E$37,4,0))</f>
        <v>MP Praha</v>
      </c>
      <c r="E22" s="90" t="s">
        <v>150</v>
      </c>
      <c r="F22" s="128">
        <f t="shared" si="47"/>
        <v>0</v>
      </c>
      <c r="G22" s="280">
        <v>200</v>
      </c>
      <c r="H22" s="281"/>
      <c r="I22" s="281"/>
      <c r="J22" s="281"/>
      <c r="K22" s="282"/>
      <c r="L22" s="87">
        <f t="shared" si="1"/>
        <v>200</v>
      </c>
      <c r="M22" s="85" t="str">
        <f t="shared" si="20"/>
        <v>ELIM</v>
      </c>
      <c r="N22" s="90">
        <v>2.5626157407407407E-3</v>
      </c>
      <c r="O22" s="128">
        <f t="shared" si="21"/>
        <v>71</v>
      </c>
      <c r="P22" s="93">
        <v>30</v>
      </c>
      <c r="Q22" s="81">
        <v>30</v>
      </c>
      <c r="R22" s="81">
        <v>5</v>
      </c>
      <c r="S22" s="81"/>
      <c r="T22" s="81"/>
      <c r="U22" s="87">
        <f t="shared" si="22"/>
        <v>136</v>
      </c>
      <c r="V22" s="24">
        <f t="shared" si="2"/>
        <v>21</v>
      </c>
      <c r="W22" s="11"/>
      <c r="X22" s="264">
        <f t="shared" ca="1" si="3"/>
        <v>21</v>
      </c>
      <c r="Y22" s="11"/>
      <c r="Z22" s="96">
        <v>15</v>
      </c>
      <c r="AB22" s="96" t="str">
        <f>IF(VLOOKUP(A22,'STARTOVNÍ LISTINA'!$A$8:$E$37,5,0)="POL","ANO","")</f>
        <v/>
      </c>
      <c r="AC22" s="259">
        <f t="shared" ca="1" si="23"/>
        <v>3.8136701185897723E-2</v>
      </c>
      <c r="AD22" s="87">
        <f ca="1">IF(AC22="","",VLOOKUP(AI22,$AK$8:AN$37,4,0))</f>
        <v>15</v>
      </c>
      <c r="AE22" s="268">
        <f t="shared" ca="1" si="24"/>
        <v>1200.1500000000001</v>
      </c>
      <c r="AF22" s="87" t="str">
        <f t="shared" si="25"/>
        <v>ELIM</v>
      </c>
      <c r="AG22" s="103">
        <f t="shared" si="4"/>
        <v>15</v>
      </c>
      <c r="AI22" s="25">
        <v>15</v>
      </c>
      <c r="AJ22" s="261">
        <f t="shared" ca="1" si="26"/>
        <v>3.8136701185897723E-2</v>
      </c>
      <c r="AK22" s="275">
        <f t="shared" ca="1" si="27"/>
        <v>15</v>
      </c>
      <c r="AL22" s="272">
        <f t="shared" ca="1" si="5"/>
        <v>1200.1500000000001</v>
      </c>
      <c r="AM22" s="275">
        <f t="shared" ca="1" si="28"/>
        <v>15</v>
      </c>
      <c r="AN22" s="138">
        <f t="shared" si="29"/>
        <v>15</v>
      </c>
      <c r="AP22" s="107">
        <f t="shared" si="6"/>
        <v>2.5626157407407407E-3</v>
      </c>
      <c r="AQ22" s="124">
        <f t="shared" si="7"/>
        <v>136</v>
      </c>
      <c r="AR22" s="109">
        <f t="shared" si="8"/>
        <v>4.1366898148148153E-3</v>
      </c>
      <c r="AS22" s="103">
        <f t="shared" si="9"/>
        <v>15</v>
      </c>
      <c r="AU22" s="25">
        <v>15</v>
      </c>
      <c r="AV22" s="109">
        <f t="shared" si="30"/>
        <v>1.9740740740740743E-3</v>
      </c>
      <c r="AW22" s="137">
        <f t="shared" si="31"/>
        <v>7</v>
      </c>
      <c r="AX22" s="138">
        <f t="shared" si="32"/>
        <v>15</v>
      </c>
      <c r="AY22" s="120"/>
      <c r="AZ22" s="148">
        <f t="shared" ca="1" si="33"/>
        <v>100.86704304920443</v>
      </c>
      <c r="BA22" s="148">
        <f t="shared" ca="1" si="34"/>
        <v>21.025626157407409</v>
      </c>
      <c r="BB22" s="148">
        <f t="shared" ca="1" si="35"/>
        <v>121.89266920661183</v>
      </c>
      <c r="BC22" s="131">
        <f t="shared" ca="1" si="10"/>
        <v>15</v>
      </c>
      <c r="BD22" s="4">
        <f t="shared" ca="1" si="36"/>
        <v>112.03160951672477</v>
      </c>
      <c r="BE22" s="4">
        <f t="shared" ca="1" si="37"/>
        <v>19</v>
      </c>
      <c r="BF22" s="147" t="str">
        <f t="shared" ca="1" si="38"/>
        <v>HRADIL Tomáš, pprap.</v>
      </c>
      <c r="BG22" s="153" t="str">
        <f t="shared" ca="1" si="11"/>
        <v>–</v>
      </c>
      <c r="BH22" s="154">
        <f t="shared" ca="1" si="12"/>
        <v>200</v>
      </c>
      <c r="BI22" s="154" t="str">
        <f t="shared" ca="1" si="13"/>
        <v>ELIM</v>
      </c>
      <c r="BJ22" s="155">
        <f t="shared" ca="1" si="14"/>
        <v>1.6746527777777777E-3</v>
      </c>
      <c r="BK22" s="156">
        <f t="shared" ca="1" si="15"/>
        <v>5</v>
      </c>
      <c r="BL22" s="156">
        <f t="shared" ca="1" si="16"/>
        <v>12</v>
      </c>
      <c r="BM22" s="157">
        <f t="shared" ca="1" si="39"/>
        <v>15</v>
      </c>
      <c r="BO22" s="149">
        <v>15</v>
      </c>
      <c r="BP22" s="149">
        <f t="shared" ca="1" si="40"/>
        <v>10.398726851851851</v>
      </c>
      <c r="BQ22" s="149">
        <f t="shared" ca="1" si="41"/>
        <v>18</v>
      </c>
      <c r="BR22" s="150" t="str">
        <f t="shared" ca="1" si="17"/>
        <v>ZEDNÍČEK Libor, str.</v>
      </c>
      <c r="BS22" s="150" t="str">
        <f t="shared" ca="1" si="18"/>
        <v>SOLO MACARENA</v>
      </c>
      <c r="BT22" s="150" t="str">
        <f t="shared" ca="1" si="19"/>
        <v>MP Ostrava</v>
      </c>
      <c r="BV22" s="298">
        <f t="shared" si="42"/>
        <v>336</v>
      </c>
      <c r="BW22" s="296">
        <f t="shared" si="43"/>
        <v>2.5626157407407407E-3</v>
      </c>
      <c r="BX22" s="4">
        <v>15</v>
      </c>
      <c r="BY22" s="4">
        <f t="shared" si="44"/>
        <v>336.00256261574071</v>
      </c>
      <c r="BZ22" s="4">
        <v>15</v>
      </c>
      <c r="CA22" s="4">
        <f t="shared" si="45"/>
        <v>205.00167465277778</v>
      </c>
      <c r="CB22" s="5">
        <f t="shared" si="46"/>
        <v>19</v>
      </c>
    </row>
    <row r="23" spans="1:80" s="4" customFormat="1" ht="12.95" customHeight="1">
      <c r="A23" s="25">
        <v>16</v>
      </c>
      <c r="B23" s="23" t="str">
        <f>IF(VLOOKUP($A23,'STARTOVNÍ LISTINA'!$A$8:$E$37,2,0)="","",VLOOKUP($A23,'STARTOVNÍ LISTINA'!$A$8:$E$37,2,0))</f>
        <v>PILKO Stephan</v>
      </c>
      <c r="C23" s="54" t="str">
        <f>IF(VLOOKUP($A23,'STARTOVNÍ LISTINA'!$A$8:$E$37,3,0)="","",VLOOKUP($A23,'STARTOVNÍ LISTINA'!$A$8:$E$37,3,0))</f>
        <v>QUICK STEP</v>
      </c>
      <c r="D23" s="54" t="str">
        <f>IF(VLOOKUP($A23,'STARTOVNÍ LISTINA'!$A$8:$E$37,4,0)="","",VLOOKUP($A23,'STARTOVNÍ LISTINA'!$A$8:$E$37,4,0))</f>
        <v>NĚMECKO, Sasko</v>
      </c>
      <c r="E23" s="90" t="s">
        <v>150</v>
      </c>
      <c r="F23" s="128">
        <f t="shared" si="47"/>
        <v>0</v>
      </c>
      <c r="G23" s="280">
        <v>200</v>
      </c>
      <c r="H23" s="281"/>
      <c r="I23" s="281"/>
      <c r="J23" s="281"/>
      <c r="K23" s="282"/>
      <c r="L23" s="87">
        <f t="shared" si="1"/>
        <v>200</v>
      </c>
      <c r="M23" s="85" t="str">
        <f t="shared" si="20"/>
        <v>ELIM</v>
      </c>
      <c r="N23" s="90">
        <v>1.8814814814814814E-3</v>
      </c>
      <c r="O23" s="128">
        <f t="shared" si="21"/>
        <v>12</v>
      </c>
      <c r="P23" s="93">
        <v>10</v>
      </c>
      <c r="Q23" s="81"/>
      <c r="R23" s="81"/>
      <c r="S23" s="81"/>
      <c r="T23" s="81"/>
      <c r="U23" s="87">
        <f t="shared" si="22"/>
        <v>22</v>
      </c>
      <c r="V23" s="24">
        <f t="shared" si="2"/>
        <v>16</v>
      </c>
      <c r="W23" s="11"/>
      <c r="X23" s="264">
        <f t="shared" ca="1" si="3"/>
        <v>17</v>
      </c>
      <c r="Y23" s="11"/>
      <c r="Z23" s="96">
        <v>16</v>
      </c>
      <c r="AB23" s="96" t="str">
        <f>IF(VLOOKUP(A23,'STARTOVNÍ LISTINA'!$A$8:$E$37,5,0)="POL","ANO","")</f>
        <v/>
      </c>
      <c r="AC23" s="259">
        <f t="shared" ca="1" si="23"/>
        <v>0.88657892601463395</v>
      </c>
      <c r="AD23" s="87">
        <f ca="1">IF(AC23="","",VLOOKUP(AI23,$AK$8:AN$37,4,0))</f>
        <v>22</v>
      </c>
      <c r="AE23" s="268">
        <f t="shared" ca="1" si="24"/>
        <v>1200.22</v>
      </c>
      <c r="AF23" s="87" t="str">
        <f t="shared" si="25"/>
        <v>ELIM</v>
      </c>
      <c r="AG23" s="103">
        <f t="shared" si="4"/>
        <v>16</v>
      </c>
      <c r="AI23" s="25">
        <v>16</v>
      </c>
      <c r="AJ23" s="261">
        <f t="shared" ca="1" si="26"/>
        <v>5.0420290294112866E-2</v>
      </c>
      <c r="AK23" s="275">
        <f t="shared" ca="1" si="27"/>
        <v>9</v>
      </c>
      <c r="AL23" s="272">
        <f t="shared" ca="1" si="5"/>
        <v>1200.1600000000001</v>
      </c>
      <c r="AM23" s="275">
        <f t="shared" ca="1" si="28"/>
        <v>9</v>
      </c>
      <c r="AN23" s="138">
        <f t="shared" si="29"/>
        <v>16</v>
      </c>
      <c r="AP23" s="107">
        <f t="shared" si="6"/>
        <v>1.8814814814814814E-3</v>
      </c>
      <c r="AQ23" s="124">
        <f t="shared" si="7"/>
        <v>22</v>
      </c>
      <c r="AR23" s="109">
        <f t="shared" si="8"/>
        <v>2.1361111111111112E-3</v>
      </c>
      <c r="AS23" s="103">
        <f t="shared" si="9"/>
        <v>16</v>
      </c>
      <c r="AU23" s="25">
        <v>16</v>
      </c>
      <c r="AV23" s="109">
        <f t="shared" si="30"/>
        <v>2.1361111111111112E-3</v>
      </c>
      <c r="AW23" s="137">
        <f t="shared" si="31"/>
        <v>16</v>
      </c>
      <c r="AX23" s="138">
        <f t="shared" si="32"/>
        <v>16</v>
      </c>
      <c r="AY23" s="120"/>
      <c r="AZ23" s="148">
        <f t="shared" ca="1" si="33"/>
        <v>100.45200857429394</v>
      </c>
      <c r="BA23" s="148">
        <f t="shared" ca="1" si="34"/>
        <v>16.018814814814814</v>
      </c>
      <c r="BB23" s="148">
        <f t="shared" ca="1" si="35"/>
        <v>116.47082338910876</v>
      </c>
      <c r="BC23" s="131">
        <f t="shared" ca="1" si="10"/>
        <v>16</v>
      </c>
      <c r="BD23" s="4">
        <f t="shared" ca="1" si="36"/>
        <v>114.80079109564507</v>
      </c>
      <c r="BE23" s="4">
        <f t="shared" ca="1" si="37"/>
        <v>3</v>
      </c>
      <c r="BF23" s="147" t="str">
        <f t="shared" ca="1" si="38"/>
        <v>SZIVACKI Joszef Tibor</v>
      </c>
      <c r="BG23" s="153" t="str">
        <f t="shared" ca="1" si="11"/>
        <v>–</v>
      </c>
      <c r="BH23" s="154">
        <f t="shared" ca="1" si="12"/>
        <v>200</v>
      </c>
      <c r="BI23" s="154" t="str">
        <f t="shared" ca="1" si="13"/>
        <v>ELIM</v>
      </c>
      <c r="BJ23" s="155">
        <f t="shared" ca="1" si="14"/>
        <v>1.8269675925925927E-3</v>
      </c>
      <c r="BK23" s="156">
        <f t="shared" ca="1" si="15"/>
        <v>7</v>
      </c>
      <c r="BL23" s="156">
        <f t="shared" ca="1" si="16"/>
        <v>14</v>
      </c>
      <c r="BM23" s="157">
        <f t="shared" ca="1" si="39"/>
        <v>16</v>
      </c>
      <c r="BO23" s="149">
        <v>16</v>
      </c>
      <c r="BP23" s="149">
        <f t="shared" ca="1" si="40"/>
        <v>9.2587962962962962</v>
      </c>
      <c r="BQ23" s="149">
        <f t="shared" ca="1" si="41"/>
        <v>7</v>
      </c>
      <c r="BR23" s="150" t="str">
        <f t="shared" ca="1" si="17"/>
        <v>NOVÁK Tomáš, str.</v>
      </c>
      <c r="BS23" s="150" t="str">
        <f t="shared" ca="1" si="18"/>
        <v>SOLO PANDORA</v>
      </c>
      <c r="BT23" s="150" t="str">
        <f t="shared" ca="1" si="19"/>
        <v>MP Ostrava</v>
      </c>
      <c r="BV23" s="298">
        <f t="shared" si="42"/>
        <v>222</v>
      </c>
      <c r="BW23" s="296">
        <f t="shared" si="43"/>
        <v>1.8814814814814814E-3</v>
      </c>
      <c r="BX23" s="4">
        <v>16</v>
      </c>
      <c r="BY23" s="4">
        <f t="shared" si="44"/>
        <v>222.00188148148149</v>
      </c>
      <c r="BZ23" s="4">
        <v>16</v>
      </c>
      <c r="CA23" s="4">
        <f t="shared" si="45"/>
        <v>207.00182696759259</v>
      </c>
      <c r="CB23" s="5">
        <f t="shared" si="46"/>
        <v>3</v>
      </c>
    </row>
    <row r="24" spans="1:80" s="4" customFormat="1" ht="12.95" customHeight="1">
      <c r="A24" s="25">
        <v>17</v>
      </c>
      <c r="B24" s="23" t="str">
        <f>IF(VLOOKUP($A24,'STARTOVNÍ LISTINA'!$A$8:$E$37,2,0)="","",VLOOKUP($A24,'STARTOVNÍ LISTINA'!$A$8:$E$37,2,0))</f>
        <v>SVOBODA Lukáš, nstržm.</v>
      </c>
      <c r="C24" s="54" t="str">
        <f>IF(VLOOKUP($A24,'STARTOVNÍ LISTINA'!$A$8:$E$37,3,0)="","",VLOOKUP($A24,'STARTOVNÍ LISTINA'!$A$8:$E$37,3,0))</f>
        <v>SANTÉ</v>
      </c>
      <c r="D24" s="54" t="str">
        <f>IF(VLOOKUP($A24,'STARTOVNÍ LISTINA'!$A$8:$E$37,4,0)="","",VLOOKUP($A24,'STARTOVNÍ LISTINA'!$A$8:$E$37,4,0))</f>
        <v>KŘP hlavního města Prahy</v>
      </c>
      <c r="E24" s="90">
        <v>2.4562499999999997E-3</v>
      </c>
      <c r="F24" s="128">
        <f t="shared" si="47"/>
        <v>8</v>
      </c>
      <c r="G24" s="280">
        <v>10</v>
      </c>
      <c r="H24" s="281"/>
      <c r="I24" s="281"/>
      <c r="J24" s="281"/>
      <c r="K24" s="282"/>
      <c r="L24" s="87">
        <f t="shared" si="1"/>
        <v>18</v>
      </c>
      <c r="M24" s="85">
        <f t="shared" ca="1" si="20"/>
        <v>11</v>
      </c>
      <c r="N24" s="90">
        <v>1.6586805555555556E-3</v>
      </c>
      <c r="O24" s="128">
        <f t="shared" si="21"/>
        <v>0</v>
      </c>
      <c r="P24" s="93">
        <v>20</v>
      </c>
      <c r="Q24" s="81"/>
      <c r="R24" s="81"/>
      <c r="S24" s="81"/>
      <c r="T24" s="81"/>
      <c r="U24" s="87">
        <f t="shared" si="22"/>
        <v>20</v>
      </c>
      <c r="V24" s="24">
        <f t="shared" si="2"/>
        <v>13</v>
      </c>
      <c r="W24" s="11"/>
      <c r="X24" s="264">
        <f t="shared" ca="1" si="3"/>
        <v>12</v>
      </c>
      <c r="Y24" s="11"/>
      <c r="Z24" s="96">
        <v>17</v>
      </c>
      <c r="AB24" s="96" t="str">
        <f>IF(VLOOKUP(A24,'STARTOVNÍ LISTINA'!$A$8:$E$37,5,0)="POL","ANO","")</f>
        <v/>
      </c>
      <c r="AC24" s="259">
        <f t="shared" ca="1" si="23"/>
        <v>6.1643518518518547E-4</v>
      </c>
      <c r="AD24" s="87">
        <f ca="1">IF(AC24="","",VLOOKUP(AI24,$AK$8:AN$37,4,0))</f>
        <v>12</v>
      </c>
      <c r="AE24" s="268">
        <f t="shared" ca="1" si="24"/>
        <v>18.12</v>
      </c>
      <c r="AF24" s="87">
        <f t="shared" ca="1" si="25"/>
        <v>11</v>
      </c>
      <c r="AG24" s="103">
        <f t="shared" si="4"/>
        <v>17</v>
      </c>
      <c r="AI24" s="25">
        <v>17</v>
      </c>
      <c r="AJ24" s="261">
        <f t="shared" ca="1" si="26"/>
        <v>0.16967000933479515</v>
      </c>
      <c r="AK24" s="275">
        <f t="shared" ca="1" si="27"/>
        <v>5</v>
      </c>
      <c r="AL24" s="272">
        <f t="shared" ca="1" si="5"/>
        <v>1200.17</v>
      </c>
      <c r="AM24" s="275">
        <f t="shared" ca="1" si="28"/>
        <v>5</v>
      </c>
      <c r="AN24" s="138">
        <f t="shared" si="29"/>
        <v>17</v>
      </c>
      <c r="AP24" s="107">
        <f t="shared" si="6"/>
        <v>1.6586805555555556E-3</v>
      </c>
      <c r="AQ24" s="124">
        <f t="shared" si="7"/>
        <v>20</v>
      </c>
      <c r="AR24" s="109">
        <f t="shared" si="8"/>
        <v>1.890162037037037E-3</v>
      </c>
      <c r="AS24" s="103">
        <f t="shared" si="9"/>
        <v>17</v>
      </c>
      <c r="AU24" s="25">
        <v>17</v>
      </c>
      <c r="AV24" s="109">
        <f t="shared" si="30"/>
        <v>2.1564814814814814E-3</v>
      </c>
      <c r="AW24" s="137">
        <f t="shared" si="31"/>
        <v>4</v>
      </c>
      <c r="AX24" s="138">
        <f t="shared" si="32"/>
        <v>17</v>
      </c>
      <c r="AY24" s="120"/>
      <c r="AZ24" s="148">
        <f t="shared" ca="1" si="33"/>
        <v>13.456250000000001</v>
      </c>
      <c r="BA24" s="148">
        <f t="shared" ca="1" si="34"/>
        <v>13.016586805555555</v>
      </c>
      <c r="BB24" s="148">
        <f t="shared" ca="1" si="35"/>
        <v>26.472836805555556</v>
      </c>
      <c r="BC24" s="131">
        <f t="shared" ca="1" si="10"/>
        <v>17</v>
      </c>
      <c r="BD24" s="4">
        <f t="shared" ca="1" si="36"/>
        <v>116.47082338910876</v>
      </c>
      <c r="BE24" s="4">
        <f t="shared" ca="1" si="37"/>
        <v>16</v>
      </c>
      <c r="BF24" s="147" t="str">
        <f t="shared" ca="1" si="38"/>
        <v>PILKO Stephan</v>
      </c>
      <c r="BG24" s="153" t="str">
        <f t="shared" ca="1" si="11"/>
        <v>–</v>
      </c>
      <c r="BH24" s="154">
        <f t="shared" ca="1" si="12"/>
        <v>200</v>
      </c>
      <c r="BI24" s="154" t="str">
        <f t="shared" ca="1" si="13"/>
        <v>ELIM</v>
      </c>
      <c r="BJ24" s="155">
        <f t="shared" ca="1" si="14"/>
        <v>1.8814814814814814E-3</v>
      </c>
      <c r="BK24" s="156">
        <f t="shared" ca="1" si="15"/>
        <v>22</v>
      </c>
      <c r="BL24" s="156">
        <f t="shared" ca="1" si="16"/>
        <v>16</v>
      </c>
      <c r="BM24" s="157">
        <f t="shared" ca="1" si="39"/>
        <v>17</v>
      </c>
      <c r="BO24" s="149">
        <v>17</v>
      </c>
      <c r="BP24" s="149">
        <f t="shared" ca="1" si="40"/>
        <v>8.3078703703703702</v>
      </c>
      <c r="BQ24" s="149">
        <f t="shared" ca="1" si="41"/>
        <v>13</v>
      </c>
      <c r="BR24" s="150" t="str">
        <f t="shared" ca="1" si="17"/>
        <v>BONK Christin</v>
      </c>
      <c r="BS24" s="150" t="str">
        <f t="shared" ca="1" si="18"/>
        <v>KRISTAL</v>
      </c>
      <c r="BT24" s="150" t="str">
        <f t="shared" ca="1" si="19"/>
        <v>NĚMECKO, Sasko</v>
      </c>
      <c r="BV24" s="298">
        <f t="shared" si="42"/>
        <v>38</v>
      </c>
      <c r="BW24" s="296">
        <f t="shared" si="43"/>
        <v>1.6586805555555556E-3</v>
      </c>
      <c r="BX24" s="4">
        <v>17</v>
      </c>
      <c r="BY24" s="4">
        <f t="shared" si="44"/>
        <v>38.001658680555558</v>
      </c>
      <c r="BZ24" s="4">
        <v>17</v>
      </c>
      <c r="CA24" s="4">
        <f t="shared" si="45"/>
        <v>222.00188148148149</v>
      </c>
      <c r="CB24" s="5">
        <f t="shared" si="46"/>
        <v>16</v>
      </c>
    </row>
    <row r="25" spans="1:80" s="4" customFormat="1" ht="12.95" customHeight="1">
      <c r="A25" s="25">
        <v>18</v>
      </c>
      <c r="B25" s="23" t="str">
        <f>IF(VLOOKUP($A25,'STARTOVNÍ LISTINA'!$A$8:$E$37,2,0)="","",VLOOKUP($A25,'STARTOVNÍ LISTINA'!$A$8:$E$37,2,0))</f>
        <v>ZEDNÍČEK Libor, str.</v>
      </c>
      <c r="C25" s="54" t="str">
        <f>IF(VLOOKUP($A25,'STARTOVNÍ LISTINA'!$A$8:$E$37,3,0)="","",VLOOKUP($A25,'STARTOVNÍ LISTINA'!$A$8:$E$37,3,0))</f>
        <v>SOLO MACARENA</v>
      </c>
      <c r="D25" s="54" t="str">
        <f>IF(VLOOKUP($A25,'STARTOVNÍ LISTINA'!$A$8:$E$37,4,0)="","",VLOOKUP($A25,'STARTOVNÍ LISTINA'!$A$8:$E$37,4,0))</f>
        <v>MP Ostrava</v>
      </c>
      <c r="E25" s="90">
        <v>2.398726851851852E-3</v>
      </c>
      <c r="F25" s="128">
        <f t="shared" si="47"/>
        <v>3</v>
      </c>
      <c r="G25" s="280">
        <v>5</v>
      </c>
      <c r="H25" s="281"/>
      <c r="I25" s="281"/>
      <c r="J25" s="281"/>
      <c r="K25" s="282"/>
      <c r="L25" s="87">
        <f t="shared" si="1"/>
        <v>8</v>
      </c>
      <c r="M25" s="85">
        <f t="shared" ca="1" si="20"/>
        <v>8</v>
      </c>
      <c r="N25" s="90">
        <v>1.3046296296296295E-3</v>
      </c>
      <c r="O25" s="128">
        <f t="shared" si="21"/>
        <v>0</v>
      </c>
      <c r="P25" s="93"/>
      <c r="Q25" s="81"/>
      <c r="R25" s="81"/>
      <c r="S25" s="81"/>
      <c r="T25" s="81"/>
      <c r="U25" s="87">
        <f t="shared" si="22"/>
        <v>0</v>
      </c>
      <c r="V25" s="24">
        <f t="shared" si="2"/>
        <v>2</v>
      </c>
      <c r="W25" s="11"/>
      <c r="X25" s="264">
        <f t="shared" ca="1" si="3"/>
        <v>4</v>
      </c>
      <c r="Y25" s="11"/>
      <c r="Z25" s="96">
        <v>18</v>
      </c>
      <c r="AB25" s="96" t="str">
        <f>IF(VLOOKUP(A25,'STARTOVNÍ LISTINA'!$A$8:$E$37,5,0)="POL","ANO","")</f>
        <v/>
      </c>
      <c r="AC25" s="259">
        <f t="shared" ca="1" si="23"/>
        <v>6.7395833333333316E-4</v>
      </c>
      <c r="AD25" s="87">
        <f ca="1">IF(AC25="","",VLOOKUP(AI25,$AK$8:AN$37,4,0))</f>
        <v>13</v>
      </c>
      <c r="AE25" s="268">
        <f t="shared" ca="1" si="24"/>
        <v>8.1300000000000008</v>
      </c>
      <c r="AF25" s="87">
        <f t="shared" ca="1" si="25"/>
        <v>8</v>
      </c>
      <c r="AG25" s="103">
        <f t="shared" si="4"/>
        <v>18</v>
      </c>
      <c r="AI25" s="25">
        <v>18</v>
      </c>
      <c r="AJ25" s="261">
        <f t="shared" ca="1" si="26"/>
        <v>0.55451323496942262</v>
      </c>
      <c r="AK25" s="275">
        <f t="shared" ca="1" si="27"/>
        <v>19</v>
      </c>
      <c r="AL25" s="272">
        <f t="shared" ca="1" si="5"/>
        <v>1200.18</v>
      </c>
      <c r="AM25" s="275">
        <f t="shared" ca="1" si="28"/>
        <v>19</v>
      </c>
      <c r="AN25" s="138">
        <f t="shared" si="29"/>
        <v>18</v>
      </c>
      <c r="AP25" s="107">
        <f t="shared" si="6"/>
        <v>1.3046296296296295E-3</v>
      </c>
      <c r="AQ25" s="124">
        <f t="shared" si="7"/>
        <v>0</v>
      </c>
      <c r="AR25" s="109">
        <f t="shared" si="8"/>
        <v>1.3046296296296295E-3</v>
      </c>
      <c r="AS25" s="103">
        <f t="shared" si="9"/>
        <v>18</v>
      </c>
      <c r="AU25" s="25">
        <v>18</v>
      </c>
      <c r="AV25" s="109">
        <f t="shared" si="30"/>
        <v>3.0092592592592593E-3</v>
      </c>
      <c r="AW25" s="137">
        <f t="shared" si="31"/>
        <v>12</v>
      </c>
      <c r="AX25" s="138">
        <f t="shared" si="32"/>
        <v>18</v>
      </c>
      <c r="AY25" s="120"/>
      <c r="AZ25" s="148">
        <f t="shared" ca="1" si="33"/>
        <v>10.398726851851851</v>
      </c>
      <c r="BA25" s="148">
        <f t="shared" ca="1" si="34"/>
        <v>2.0130462962962965</v>
      </c>
      <c r="BB25" s="148">
        <f t="shared" ca="1" si="35"/>
        <v>12.411773148148148</v>
      </c>
      <c r="BC25" s="131">
        <f t="shared" ca="1" si="10"/>
        <v>18</v>
      </c>
      <c r="BD25" s="4">
        <f t="shared" ca="1" si="36"/>
        <v>118.89019330892251</v>
      </c>
      <c r="BE25" s="4">
        <f t="shared" ca="1" si="37"/>
        <v>12</v>
      </c>
      <c r="BF25" s="147" t="str">
        <f t="shared" ca="1" si="38"/>
        <v>TRNKOVÁ Simona, str.</v>
      </c>
      <c r="BG25" s="153" t="str">
        <f t="shared" ca="1" si="11"/>
        <v>–</v>
      </c>
      <c r="BH25" s="154">
        <f t="shared" ca="1" si="12"/>
        <v>200</v>
      </c>
      <c r="BI25" s="154" t="str">
        <f t="shared" ca="1" si="13"/>
        <v>ELIM</v>
      </c>
      <c r="BJ25" s="155">
        <f t="shared" ca="1" si="14"/>
        <v>2.0254629629629629E-3</v>
      </c>
      <c r="BK25" s="156">
        <f t="shared" ca="1" si="15"/>
        <v>85</v>
      </c>
      <c r="BL25" s="156">
        <f t="shared" ca="1" si="16"/>
        <v>18</v>
      </c>
      <c r="BM25" s="157">
        <f t="shared" ca="1" si="39"/>
        <v>18</v>
      </c>
      <c r="BO25" s="149">
        <v>18</v>
      </c>
      <c r="BP25" s="149">
        <f t="shared" ca="1" si="40"/>
        <v>7.3365740740740737</v>
      </c>
      <c r="BQ25" s="149">
        <f t="shared" ca="1" si="41"/>
        <v>14</v>
      </c>
      <c r="BR25" s="150" t="str">
        <f t="shared" ca="1" si="17"/>
        <v>OSTŘANSKÁ Renata, nstržm.</v>
      </c>
      <c r="BS25" s="150" t="str">
        <f t="shared" ca="1" si="18"/>
        <v>VIZIR</v>
      </c>
      <c r="BT25" s="150" t="str">
        <f t="shared" ca="1" si="19"/>
        <v>KŘP Jihomoravského kraje</v>
      </c>
      <c r="BV25" s="298">
        <f t="shared" si="42"/>
        <v>8</v>
      </c>
      <c r="BW25" s="296">
        <f t="shared" si="43"/>
        <v>1.3046296296296295E-3</v>
      </c>
      <c r="BX25" s="4">
        <v>18</v>
      </c>
      <c r="BY25" s="4">
        <f t="shared" si="44"/>
        <v>8.0013046296296295</v>
      </c>
      <c r="BZ25" s="4">
        <v>18</v>
      </c>
      <c r="CA25" s="4">
        <f t="shared" si="45"/>
        <v>271.00221238425928</v>
      </c>
      <c r="CB25" s="5">
        <f t="shared" si="46"/>
        <v>9</v>
      </c>
    </row>
    <row r="26" spans="1:80" s="4" customFormat="1" ht="12.95" customHeight="1">
      <c r="A26" s="25">
        <v>19</v>
      </c>
      <c r="B26" s="23" t="str">
        <f>IF(VLOOKUP($A26,'STARTOVNÍ LISTINA'!$A$8:$E$37,2,0)="","",VLOOKUP($A26,'STARTOVNÍ LISTINA'!$A$8:$E$37,2,0))</f>
        <v>HRADIL Tomáš, pprap.</v>
      </c>
      <c r="C26" s="54" t="str">
        <f>IF(VLOOKUP($A26,'STARTOVNÍ LISTINA'!$A$8:$E$37,3,0)="","",VLOOKUP($A26,'STARTOVNÍ LISTINA'!$A$8:$E$37,3,0))</f>
        <v>ŽAGIR</v>
      </c>
      <c r="D26" s="54" t="str">
        <f>IF(VLOOKUP($A26,'STARTOVNÍ LISTINA'!$A$8:$E$37,4,0)="","",VLOOKUP($A26,'STARTOVNÍ LISTINA'!$A$8:$E$37,4,0))</f>
        <v>KŘP hlavního města Prahy</v>
      </c>
      <c r="E26" s="90" t="s">
        <v>150</v>
      </c>
      <c r="F26" s="128">
        <f t="shared" si="47"/>
        <v>0</v>
      </c>
      <c r="G26" s="280">
        <v>200</v>
      </c>
      <c r="H26" s="281"/>
      <c r="I26" s="281"/>
      <c r="J26" s="281"/>
      <c r="K26" s="282"/>
      <c r="L26" s="87">
        <f t="shared" si="1"/>
        <v>200</v>
      </c>
      <c r="M26" s="85" t="str">
        <f t="shared" si="20"/>
        <v>ELIM</v>
      </c>
      <c r="N26" s="90">
        <v>1.6746527777777777E-3</v>
      </c>
      <c r="O26" s="128">
        <f t="shared" si="21"/>
        <v>0</v>
      </c>
      <c r="P26" s="93">
        <v>5</v>
      </c>
      <c r="Q26" s="81"/>
      <c r="R26" s="81"/>
      <c r="S26" s="81"/>
      <c r="T26" s="81"/>
      <c r="U26" s="87">
        <f t="shared" si="22"/>
        <v>5</v>
      </c>
      <c r="V26" s="24">
        <f t="shared" si="2"/>
        <v>12</v>
      </c>
      <c r="W26" s="11"/>
      <c r="X26" s="264">
        <f t="shared" ca="1" si="3"/>
        <v>15</v>
      </c>
      <c r="Y26" s="11"/>
      <c r="Z26" s="96">
        <v>19</v>
      </c>
      <c r="AB26" s="96" t="str">
        <f>IF(VLOOKUP(A26,'STARTOVNÍ LISTINA'!$A$8:$E$37,5,0)="POL","ANO","")</f>
        <v/>
      </c>
      <c r="AC26" s="259">
        <f t="shared" ca="1" si="23"/>
        <v>0.55451323496942262</v>
      </c>
      <c r="AD26" s="87">
        <f ca="1">IF(AC26="","",VLOOKUP(AI26,$AK$8:AN$37,4,0))</f>
        <v>18</v>
      </c>
      <c r="AE26" s="268">
        <f t="shared" ca="1" si="24"/>
        <v>1200.18</v>
      </c>
      <c r="AF26" s="87" t="str">
        <f t="shared" si="25"/>
        <v>ELIM</v>
      </c>
      <c r="AG26" s="103">
        <f t="shared" si="4"/>
        <v>19</v>
      </c>
      <c r="AI26" s="25">
        <v>19</v>
      </c>
      <c r="AJ26" s="261">
        <f t="shared" ca="1" si="26"/>
        <v>0.69409486644722218</v>
      </c>
      <c r="AK26" s="275">
        <f t="shared" ca="1" si="27"/>
        <v>3</v>
      </c>
      <c r="AL26" s="272">
        <f t="shared" ca="1" si="5"/>
        <v>1200.19</v>
      </c>
      <c r="AM26" s="275">
        <f t="shared" ca="1" si="28"/>
        <v>3</v>
      </c>
      <c r="AN26" s="138">
        <f t="shared" si="29"/>
        <v>19</v>
      </c>
      <c r="AP26" s="107">
        <f t="shared" si="6"/>
        <v>1.6746527777777777E-3</v>
      </c>
      <c r="AQ26" s="124">
        <f t="shared" si="7"/>
        <v>5</v>
      </c>
      <c r="AR26" s="109">
        <f t="shared" si="8"/>
        <v>1.7325231481481482E-3</v>
      </c>
      <c r="AS26" s="103">
        <f t="shared" si="9"/>
        <v>19</v>
      </c>
      <c r="AU26" s="25">
        <v>19</v>
      </c>
      <c r="AV26" s="109">
        <f t="shared" si="30"/>
        <v>3.0341435185185185E-3</v>
      </c>
      <c r="AW26" s="137">
        <f t="shared" si="31"/>
        <v>9</v>
      </c>
      <c r="AX26" s="138">
        <f t="shared" si="32"/>
        <v>19</v>
      </c>
      <c r="AY26" s="120"/>
      <c r="AZ26" s="148">
        <f t="shared" ca="1" si="33"/>
        <v>100.01486298894699</v>
      </c>
      <c r="BA26" s="148">
        <f t="shared" ca="1" si="34"/>
        <v>12.016746527777778</v>
      </c>
      <c r="BB26" s="148">
        <f t="shared" ca="1" si="35"/>
        <v>112.03160951672477</v>
      </c>
      <c r="BC26" s="131">
        <f t="shared" ca="1" si="10"/>
        <v>19</v>
      </c>
      <c r="BD26" s="4">
        <f t="shared" ca="1" si="36"/>
        <v>119.86884071865029</v>
      </c>
      <c r="BE26" s="4">
        <f t="shared" ca="1" si="37"/>
        <v>9</v>
      </c>
      <c r="BF26" s="147" t="str">
        <f t="shared" ca="1" si="38"/>
        <v>KUROPATNICKÁ Zuzana, nstržm.</v>
      </c>
      <c r="BG26" s="153" t="str">
        <f t="shared" ca="1" si="11"/>
        <v>–</v>
      </c>
      <c r="BH26" s="154">
        <f t="shared" ca="1" si="12"/>
        <v>200</v>
      </c>
      <c r="BI26" s="154" t="str">
        <f t="shared" ca="1" si="13"/>
        <v>ELIM</v>
      </c>
      <c r="BJ26" s="155">
        <f t="shared" ca="1" si="14"/>
        <v>2.2123842592592594E-3</v>
      </c>
      <c r="BK26" s="156">
        <f t="shared" ca="1" si="15"/>
        <v>71</v>
      </c>
      <c r="BL26" s="156">
        <f t="shared" ca="1" si="16"/>
        <v>19</v>
      </c>
      <c r="BM26" s="157">
        <f t="shared" ca="1" si="39"/>
        <v>19</v>
      </c>
      <c r="BO26" s="149">
        <v>19</v>
      </c>
      <c r="BP26" s="149">
        <f t="shared" ca="1" si="40"/>
        <v>6.3491898148148147</v>
      </c>
      <c r="BQ26" s="149">
        <f t="shared" ca="1" si="41"/>
        <v>21</v>
      </c>
      <c r="BR26" s="150" t="str">
        <f t="shared" ca="1" si="17"/>
        <v>JOHN Přemysl, nstržm.</v>
      </c>
      <c r="BS26" s="150" t="str">
        <f t="shared" ca="1" si="18"/>
        <v>DERWISZ</v>
      </c>
      <c r="BT26" s="150" t="str">
        <f t="shared" ca="1" si="19"/>
        <v>KŘP Jihomoravského kraje</v>
      </c>
      <c r="BV26" s="298">
        <f t="shared" si="42"/>
        <v>205</v>
      </c>
      <c r="BW26" s="296">
        <f t="shared" si="43"/>
        <v>1.6746527777777777E-3</v>
      </c>
      <c r="BX26" s="4">
        <v>19</v>
      </c>
      <c r="BY26" s="4">
        <f t="shared" si="44"/>
        <v>205.00167465277778</v>
      </c>
      <c r="BZ26" s="4">
        <v>19</v>
      </c>
      <c r="CA26" s="4">
        <f t="shared" si="45"/>
        <v>285.00202546296299</v>
      </c>
      <c r="CB26" s="5">
        <f t="shared" si="46"/>
        <v>12</v>
      </c>
    </row>
    <row r="27" spans="1:80" s="4" customFormat="1" ht="12.95" customHeight="1">
      <c r="A27" s="25">
        <v>20</v>
      </c>
      <c r="B27" s="23" t="str">
        <f>IF(VLOOKUP($A27,'STARTOVNÍ LISTINA'!$A$8:$E$37,2,0)="","",VLOOKUP($A27,'STARTOVNÍ LISTINA'!$A$8:$E$37,2,0))</f>
        <v>HORNÍK Martin, str. Ing.</v>
      </c>
      <c r="C27" s="54" t="str">
        <f>IF(VLOOKUP($A27,'STARTOVNÍ LISTINA'!$A$8:$E$37,3,0)="","",VLOOKUP($A27,'STARTOVNÍ LISTINA'!$A$8:$E$37,3,0))</f>
        <v>SACRAMOSO XANTA ALBA</v>
      </c>
      <c r="D27" s="54" t="str">
        <f>IF(VLOOKUP($A27,'STARTOVNÍ LISTINA'!$A$8:$E$37,4,0)="","",VLOOKUP($A27,'STARTOVNÍ LISTINA'!$A$8:$E$37,4,0))</f>
        <v>MP Praha</v>
      </c>
      <c r="E27" s="90">
        <v>2.1954861111111112E-3</v>
      </c>
      <c r="F27" s="128">
        <f t="shared" si="47"/>
        <v>0</v>
      </c>
      <c r="G27" s="280">
        <v>0</v>
      </c>
      <c r="H27" s="281"/>
      <c r="I27" s="281"/>
      <c r="J27" s="281"/>
      <c r="K27" s="282"/>
      <c r="L27" s="87">
        <f t="shared" si="1"/>
        <v>0</v>
      </c>
      <c r="M27" s="85">
        <f t="shared" ca="1" si="20"/>
        <v>2</v>
      </c>
      <c r="N27" s="90">
        <v>1.5238425925925925E-3</v>
      </c>
      <c r="O27" s="128">
        <f t="shared" si="21"/>
        <v>0</v>
      </c>
      <c r="P27" s="93"/>
      <c r="Q27" s="81"/>
      <c r="R27" s="81"/>
      <c r="S27" s="81"/>
      <c r="T27" s="81"/>
      <c r="U27" s="87">
        <f t="shared" si="22"/>
        <v>0</v>
      </c>
      <c r="V27" s="24">
        <f t="shared" si="2"/>
        <v>10</v>
      </c>
      <c r="W27" s="11"/>
      <c r="X27" s="264">
        <f t="shared" ca="1" si="3"/>
        <v>5</v>
      </c>
      <c r="Y27" s="11"/>
      <c r="Z27" s="96">
        <v>20</v>
      </c>
      <c r="AB27" s="96" t="str">
        <f>IF(VLOOKUP(A27,'STARTOVNÍ LISTINA'!$A$8:$E$37,5,0)="POL","ANO","")</f>
        <v/>
      </c>
      <c r="AC27" s="259">
        <f t="shared" ca="1" si="23"/>
        <v>1.7719907407407398E-4</v>
      </c>
      <c r="AD27" s="87">
        <f ca="1">IF(AC27="","",VLOOKUP(AI27,$AK$8:AN$37,4,0))</f>
        <v>8</v>
      </c>
      <c r="AE27" s="268">
        <f t="shared" ca="1" si="24"/>
        <v>0.08</v>
      </c>
      <c r="AF27" s="87">
        <f t="shared" ca="1" si="25"/>
        <v>2</v>
      </c>
      <c r="AG27" s="103">
        <f t="shared" si="4"/>
        <v>20</v>
      </c>
      <c r="AI27" s="25">
        <v>20</v>
      </c>
      <c r="AJ27" s="261">
        <f t="shared" ca="1" si="26"/>
        <v>0.7271979903909791</v>
      </c>
      <c r="AK27" s="275">
        <f t="shared" ca="1" si="27"/>
        <v>12</v>
      </c>
      <c r="AL27" s="272">
        <f t="shared" ca="1" si="5"/>
        <v>1200.2</v>
      </c>
      <c r="AM27" s="275">
        <f t="shared" ca="1" si="28"/>
        <v>12</v>
      </c>
      <c r="AN27" s="138">
        <f t="shared" si="29"/>
        <v>20</v>
      </c>
      <c r="AP27" s="107">
        <f t="shared" si="6"/>
        <v>1.5238425925925925E-3</v>
      </c>
      <c r="AQ27" s="124">
        <f t="shared" si="7"/>
        <v>0</v>
      </c>
      <c r="AR27" s="109">
        <f t="shared" si="8"/>
        <v>1.5238425925925925E-3</v>
      </c>
      <c r="AS27" s="103">
        <f t="shared" si="9"/>
        <v>20</v>
      </c>
      <c r="AU27" s="25">
        <v>20</v>
      </c>
      <c r="AV27" s="109">
        <f t="shared" si="30"/>
        <v>3.4596064814814815E-3</v>
      </c>
      <c r="AW27" s="137">
        <f t="shared" si="31"/>
        <v>5</v>
      </c>
      <c r="AX27" s="138">
        <f t="shared" si="32"/>
        <v>20</v>
      </c>
      <c r="AY27" s="120"/>
      <c r="AZ27" s="148">
        <f t="shared" ca="1" si="33"/>
        <v>4.1954861111111112</v>
      </c>
      <c r="BA27" s="148">
        <f t="shared" ca="1" si="34"/>
        <v>10.015238425925926</v>
      </c>
      <c r="BB27" s="148">
        <f t="shared" ca="1" si="35"/>
        <v>14.210724537037038</v>
      </c>
      <c r="BC27" s="131">
        <f t="shared" ca="1" si="10"/>
        <v>20</v>
      </c>
      <c r="BD27" s="4">
        <f t="shared" ca="1" si="36"/>
        <v>120.66711257033798</v>
      </c>
      <c r="BE27" s="4">
        <f t="shared" ca="1" si="37"/>
        <v>5</v>
      </c>
      <c r="BF27" s="147" t="str">
        <f t="shared" ca="1" si="38"/>
        <v>GASPÁR György</v>
      </c>
      <c r="BG27" s="153" t="str">
        <f t="shared" ca="1" si="11"/>
        <v>–</v>
      </c>
      <c r="BH27" s="154">
        <f t="shared" ca="1" si="12"/>
        <v>200</v>
      </c>
      <c r="BI27" s="154" t="str">
        <f t="shared" ca="1" si="13"/>
        <v>ELIM</v>
      </c>
      <c r="BJ27" s="155">
        <f t="shared" ca="1" si="14"/>
        <v>2.3137731481481481E-3</v>
      </c>
      <c r="BK27" s="156">
        <f t="shared" ca="1" si="15"/>
        <v>99</v>
      </c>
      <c r="BL27" s="156">
        <f t="shared" ca="1" si="16"/>
        <v>20</v>
      </c>
      <c r="BM27" s="157">
        <f t="shared" ca="1" si="39"/>
        <v>20</v>
      </c>
      <c r="BO27" s="149">
        <v>20</v>
      </c>
      <c r="BP27" s="149">
        <f t="shared" ca="1" si="40"/>
        <v>5.3578703703703709</v>
      </c>
      <c r="BQ27" s="149">
        <f t="shared" ca="1" si="41"/>
        <v>1</v>
      </c>
      <c r="BR27" s="150" t="str">
        <f t="shared" ca="1" si="17"/>
        <v>SLEZÁK Michal, nstržm. Ing.</v>
      </c>
      <c r="BS27" s="150" t="str">
        <f t="shared" ca="1" si="18"/>
        <v>ENRICO</v>
      </c>
      <c r="BT27" s="150" t="str">
        <f t="shared" ca="1" si="19"/>
        <v>KŘP Jihomoravského kraje</v>
      </c>
      <c r="BV27" s="298">
        <f t="shared" si="42"/>
        <v>0</v>
      </c>
      <c r="BW27" s="296">
        <f t="shared" si="43"/>
        <v>1.5238425925925925E-3</v>
      </c>
      <c r="BX27" s="4">
        <v>20</v>
      </c>
      <c r="BY27" s="4">
        <f t="shared" si="44"/>
        <v>1.5238425925925925E-3</v>
      </c>
      <c r="BZ27" s="4">
        <v>20</v>
      </c>
      <c r="CA27" s="4">
        <f t="shared" si="45"/>
        <v>299.00231377314816</v>
      </c>
      <c r="CB27" s="5">
        <f t="shared" si="46"/>
        <v>5</v>
      </c>
    </row>
    <row r="28" spans="1:80" s="4" customFormat="1" ht="12.95" customHeight="1">
      <c r="A28" s="25">
        <v>21</v>
      </c>
      <c r="B28" s="23" t="str">
        <f>IF(VLOOKUP($A28,'STARTOVNÍ LISTINA'!$A$8:$E$37,2,0)="","",VLOOKUP($A28,'STARTOVNÍ LISTINA'!$A$8:$E$37,2,0))</f>
        <v>JOHN Přemysl, nstržm.</v>
      </c>
      <c r="C28" s="54" t="str">
        <f>IF(VLOOKUP($A28,'STARTOVNÍ LISTINA'!$A$8:$E$37,3,0)="","",VLOOKUP($A28,'STARTOVNÍ LISTINA'!$A$8:$E$37,3,0))</f>
        <v>DERWISZ</v>
      </c>
      <c r="D28" s="54" t="str">
        <f>IF(VLOOKUP($A28,'STARTOVNÍ LISTINA'!$A$8:$E$37,4,0)="","",VLOOKUP($A28,'STARTOVNÍ LISTINA'!$A$8:$E$37,4,0))</f>
        <v>KŘP Jihomoravského kraje</v>
      </c>
      <c r="E28" s="90">
        <v>2.3491898148148148E-3</v>
      </c>
      <c r="F28" s="128">
        <f t="shared" si="47"/>
        <v>0</v>
      </c>
      <c r="G28" s="280">
        <v>5</v>
      </c>
      <c r="H28" s="281"/>
      <c r="I28" s="281"/>
      <c r="J28" s="281"/>
      <c r="K28" s="282"/>
      <c r="L28" s="87">
        <f t="shared" si="1"/>
        <v>5</v>
      </c>
      <c r="M28" s="85">
        <f t="shared" ca="1" si="20"/>
        <v>4</v>
      </c>
      <c r="N28" s="90">
        <v>1.404513888888889E-3</v>
      </c>
      <c r="O28" s="128">
        <f t="shared" si="21"/>
        <v>0</v>
      </c>
      <c r="P28" s="93">
        <v>10</v>
      </c>
      <c r="Q28" s="81"/>
      <c r="R28" s="81"/>
      <c r="S28" s="81"/>
      <c r="T28" s="81"/>
      <c r="U28" s="87">
        <f t="shared" si="22"/>
        <v>10</v>
      </c>
      <c r="V28" s="24">
        <f t="shared" si="2"/>
        <v>9</v>
      </c>
      <c r="W28" s="11"/>
      <c r="X28" s="264">
        <f t="shared" ca="1" si="3"/>
        <v>8</v>
      </c>
      <c r="Y28" s="11"/>
      <c r="Z28" s="96">
        <v>21</v>
      </c>
      <c r="AB28" s="96" t="str">
        <f>IF(VLOOKUP(A28,'STARTOVNÍ LISTINA'!$A$8:$E$37,5,0)="POL","ANO","")</f>
        <v/>
      </c>
      <c r="AC28" s="259">
        <f t="shared" ca="1" si="23"/>
        <v>2.3495370370370337E-5</v>
      </c>
      <c r="AD28" s="87">
        <f ca="1">IF(AC28="","",VLOOKUP(AI28,$AK$8:AN$37,4,0))</f>
        <v>2</v>
      </c>
      <c r="AE28" s="268">
        <f t="shared" ca="1" si="24"/>
        <v>5.0199999999999996</v>
      </c>
      <c r="AF28" s="87">
        <f t="shared" ca="1" si="25"/>
        <v>4</v>
      </c>
      <c r="AG28" s="103">
        <f t="shared" si="4"/>
        <v>21</v>
      </c>
      <c r="AI28" s="25">
        <v>21</v>
      </c>
      <c r="AJ28" s="261">
        <f t="shared" ca="1" si="26"/>
        <v>0.73867516732969163</v>
      </c>
      <c r="AK28" s="275">
        <f t="shared" ca="1" si="27"/>
        <v>22</v>
      </c>
      <c r="AL28" s="272">
        <f t="shared" ca="1" si="5"/>
        <v>1200.21</v>
      </c>
      <c r="AM28" s="275">
        <f t="shared" ca="1" si="28"/>
        <v>22</v>
      </c>
      <c r="AN28" s="138">
        <f t="shared" si="29"/>
        <v>21</v>
      </c>
      <c r="AP28" s="107">
        <f t="shared" si="6"/>
        <v>1.404513888888889E-3</v>
      </c>
      <c r="AQ28" s="124">
        <f t="shared" si="7"/>
        <v>10</v>
      </c>
      <c r="AR28" s="109">
        <f t="shared" si="8"/>
        <v>1.5202546296296296E-3</v>
      </c>
      <c r="AS28" s="103">
        <f t="shared" si="9"/>
        <v>21</v>
      </c>
      <c r="AU28" s="25">
        <v>21</v>
      </c>
      <c r="AV28" s="109">
        <f t="shared" si="30"/>
        <v>4.1366898148148153E-3</v>
      </c>
      <c r="AW28" s="137">
        <f t="shared" si="31"/>
        <v>15</v>
      </c>
      <c r="AX28" s="138">
        <f t="shared" si="32"/>
        <v>21</v>
      </c>
      <c r="AY28" s="120"/>
      <c r="AZ28" s="148">
        <f t="shared" ca="1" si="33"/>
        <v>6.3491898148148147</v>
      </c>
      <c r="BA28" s="148">
        <f t="shared" ca="1" si="34"/>
        <v>9.0140451388888891</v>
      </c>
      <c r="BB28" s="148">
        <f t="shared" ca="1" si="35"/>
        <v>15.363234953703703</v>
      </c>
      <c r="BC28" s="131">
        <f t="shared" ca="1" si="10"/>
        <v>21</v>
      </c>
      <c r="BD28" s="4">
        <f t="shared" ca="1" si="36"/>
        <v>121.89266920661183</v>
      </c>
      <c r="BE28" s="4">
        <f t="shared" ca="1" si="37"/>
        <v>15</v>
      </c>
      <c r="BF28" s="147" t="str">
        <f t="shared" ca="1" si="38"/>
        <v>PETROVIČ Zbyněk, str.</v>
      </c>
      <c r="BG28" s="153" t="str">
        <f t="shared" ca="1" si="11"/>
        <v>–</v>
      </c>
      <c r="BH28" s="154">
        <f t="shared" ca="1" si="12"/>
        <v>200</v>
      </c>
      <c r="BI28" s="154" t="str">
        <f t="shared" ca="1" si="13"/>
        <v>ELIM</v>
      </c>
      <c r="BJ28" s="155">
        <f t="shared" ca="1" si="14"/>
        <v>2.5626157407407407E-3</v>
      </c>
      <c r="BK28" s="156">
        <f t="shared" ca="1" si="15"/>
        <v>136</v>
      </c>
      <c r="BL28" s="156">
        <f t="shared" ca="1" si="16"/>
        <v>21</v>
      </c>
      <c r="BM28" s="157">
        <f t="shared" ca="1" si="39"/>
        <v>21</v>
      </c>
      <c r="BO28" s="149">
        <v>21</v>
      </c>
      <c r="BP28" s="149">
        <f t="shared" ca="1" si="40"/>
        <v>4.1954861111111112</v>
      </c>
      <c r="BQ28" s="149">
        <f t="shared" ca="1" si="41"/>
        <v>20</v>
      </c>
      <c r="BR28" s="150" t="str">
        <f t="shared" ca="1" si="17"/>
        <v>HORNÍK Martin, str. Ing.</v>
      </c>
      <c r="BS28" s="150" t="str">
        <f t="shared" ca="1" si="18"/>
        <v>SACRAMOSO XANTA ALBA</v>
      </c>
      <c r="BT28" s="150" t="str">
        <f t="shared" ca="1" si="19"/>
        <v>MP Praha</v>
      </c>
      <c r="BV28" s="298">
        <f t="shared" si="42"/>
        <v>15</v>
      </c>
      <c r="BW28" s="296">
        <f t="shared" si="43"/>
        <v>1.404513888888889E-3</v>
      </c>
      <c r="BX28" s="4">
        <v>21</v>
      </c>
      <c r="BY28" s="4">
        <f t="shared" si="44"/>
        <v>15.00140451388889</v>
      </c>
      <c r="BZ28" s="4">
        <v>21</v>
      </c>
      <c r="CA28" s="4">
        <f t="shared" si="45"/>
        <v>336.00256261574071</v>
      </c>
      <c r="CB28" s="5">
        <f t="shared" si="46"/>
        <v>15</v>
      </c>
    </row>
    <row r="29" spans="1:80" s="4" customFormat="1" ht="12.95" customHeight="1">
      <c r="A29" s="25">
        <v>22</v>
      </c>
      <c r="B29" s="23" t="str">
        <f>IF(VLOOKUP($A29,'STARTOVNÍ LISTINA'!$A$8:$E$37,2,0)="","",VLOOKUP($A29,'STARTOVNÍ LISTINA'!$A$8:$E$37,2,0))</f>
        <v>NOVÁ Ladislava, str.</v>
      </c>
      <c r="C29" s="54" t="str">
        <f>IF(VLOOKUP($A29,'STARTOVNÍ LISTINA'!$A$8:$E$37,3,0)="","",VLOOKUP($A29,'STARTOVNÍ LISTINA'!$A$8:$E$37,3,0))</f>
        <v>SOLO MATERA</v>
      </c>
      <c r="D29" s="54" t="str">
        <f>IF(VLOOKUP($A29,'STARTOVNÍ LISTINA'!$A$8:$E$37,4,0)="","",VLOOKUP($A29,'STARTOVNÍ LISTINA'!$A$8:$E$37,4,0))</f>
        <v>MP Praha</v>
      </c>
      <c r="E29" s="90" t="s">
        <v>150</v>
      </c>
      <c r="F29" s="128">
        <f t="shared" si="47"/>
        <v>0</v>
      </c>
      <c r="G29" s="280">
        <v>200</v>
      </c>
      <c r="H29" s="281"/>
      <c r="I29" s="281"/>
      <c r="J29" s="281"/>
      <c r="K29" s="282"/>
      <c r="L29" s="87">
        <f t="shared" si="1"/>
        <v>200</v>
      </c>
      <c r="M29" s="85" t="str">
        <f t="shared" si="20"/>
        <v>ELIM</v>
      </c>
      <c r="N29" s="90">
        <v>2.4703703703703702E-3</v>
      </c>
      <c r="O29" s="128">
        <f t="shared" si="21"/>
        <v>63</v>
      </c>
      <c r="P29" s="93">
        <v>10</v>
      </c>
      <c r="Q29" s="81">
        <v>10</v>
      </c>
      <c r="R29" s="81">
        <v>30</v>
      </c>
      <c r="S29" s="81">
        <v>30</v>
      </c>
      <c r="T29" s="81">
        <v>5</v>
      </c>
      <c r="U29" s="87">
        <f t="shared" si="22"/>
        <v>148</v>
      </c>
      <c r="V29" s="24">
        <f t="shared" si="2"/>
        <v>22</v>
      </c>
      <c r="W29" s="11"/>
      <c r="X29" s="264">
        <f t="shared" ca="1" si="3"/>
        <v>22</v>
      </c>
      <c r="Y29" s="11"/>
      <c r="Z29" s="96">
        <v>22</v>
      </c>
      <c r="AB29" s="96" t="str">
        <f>IF(VLOOKUP(A29,'STARTOVNÍ LISTINA'!$A$8:$E$37,5,0)="POL","ANO","")</f>
        <v/>
      </c>
      <c r="AC29" s="259">
        <f t="shared" ca="1" si="23"/>
        <v>0.73867516732969163</v>
      </c>
      <c r="AD29" s="87">
        <f ca="1">IF(AC29="","",VLOOKUP(AI29,$AK$8:AN$37,4,0))</f>
        <v>21</v>
      </c>
      <c r="AE29" s="268">
        <f t="shared" ca="1" si="24"/>
        <v>1200.21</v>
      </c>
      <c r="AF29" s="87" t="str">
        <f t="shared" si="25"/>
        <v>ELIM</v>
      </c>
      <c r="AG29" s="103">
        <f t="shared" si="4"/>
        <v>22</v>
      </c>
      <c r="AI29" s="25">
        <v>22</v>
      </c>
      <c r="AJ29" s="261">
        <f t="shared" ca="1" si="26"/>
        <v>0.88657892601463395</v>
      </c>
      <c r="AK29" s="275">
        <f t="shared" ca="1" si="27"/>
        <v>16</v>
      </c>
      <c r="AL29" s="272">
        <f t="shared" ca="1" si="5"/>
        <v>1200.22</v>
      </c>
      <c r="AM29" s="275">
        <f t="shared" ca="1" si="28"/>
        <v>16</v>
      </c>
      <c r="AN29" s="138">
        <f t="shared" si="29"/>
        <v>22</v>
      </c>
      <c r="AP29" s="107">
        <f t="shared" si="6"/>
        <v>2.4703703703703702E-3</v>
      </c>
      <c r="AQ29" s="124">
        <f t="shared" si="7"/>
        <v>148</v>
      </c>
      <c r="AR29" s="109">
        <f t="shared" si="8"/>
        <v>4.1833333333333332E-3</v>
      </c>
      <c r="AS29" s="103">
        <f t="shared" si="9"/>
        <v>22</v>
      </c>
      <c r="AU29" s="25">
        <v>22</v>
      </c>
      <c r="AV29" s="109">
        <f t="shared" si="30"/>
        <v>4.1833333333333332E-3</v>
      </c>
      <c r="AW29" s="137">
        <f t="shared" si="31"/>
        <v>22</v>
      </c>
      <c r="AX29" s="138">
        <f t="shared" si="32"/>
        <v>22</v>
      </c>
      <c r="AY29" s="120"/>
      <c r="AZ29" s="148">
        <f t="shared" ca="1" si="33"/>
        <v>100.95069668382554</v>
      </c>
      <c r="BA29" s="148">
        <f t="shared" ca="1" si="34"/>
        <v>22.024703703703704</v>
      </c>
      <c r="BB29" s="148">
        <f t="shared" ca="1" si="35"/>
        <v>122.97540038752925</v>
      </c>
      <c r="BC29" s="131">
        <f t="shared" ca="1" si="10"/>
        <v>22</v>
      </c>
      <c r="BD29" s="4">
        <f t="shared" ca="1" si="36"/>
        <v>122.97540038752925</v>
      </c>
      <c r="BE29" s="4">
        <f t="shared" ca="1" si="37"/>
        <v>22</v>
      </c>
      <c r="BF29" s="147" t="str">
        <f t="shared" ca="1" si="38"/>
        <v>NOVÁ Ladislava, str.</v>
      </c>
      <c r="BG29" s="153" t="str">
        <f t="shared" ca="1" si="11"/>
        <v>–</v>
      </c>
      <c r="BH29" s="154">
        <f t="shared" ca="1" si="12"/>
        <v>200</v>
      </c>
      <c r="BI29" s="154" t="str">
        <f t="shared" ca="1" si="13"/>
        <v>ELIM</v>
      </c>
      <c r="BJ29" s="155">
        <f t="shared" ca="1" si="14"/>
        <v>2.4703703703703702E-3</v>
      </c>
      <c r="BK29" s="156">
        <f t="shared" ca="1" si="15"/>
        <v>148</v>
      </c>
      <c r="BL29" s="156">
        <f t="shared" ca="1" si="16"/>
        <v>22</v>
      </c>
      <c r="BM29" s="157">
        <f t="shared" ca="1" si="39"/>
        <v>22</v>
      </c>
      <c r="BO29" s="149">
        <v>22</v>
      </c>
      <c r="BP29" s="149">
        <f t="shared" ca="1" si="40"/>
        <v>3.2045138888888891</v>
      </c>
      <c r="BQ29" s="149">
        <f t="shared" ca="1" si="41"/>
        <v>2</v>
      </c>
      <c r="BR29" s="150" t="str">
        <f t="shared" ca="1" si="17"/>
        <v>ŠEJSTAL Radek, prap.</v>
      </c>
      <c r="BS29" s="150" t="str">
        <f t="shared" ca="1" si="18"/>
        <v>LISTR</v>
      </c>
      <c r="BT29" s="150" t="str">
        <f t="shared" ca="1" si="19"/>
        <v>KŘP Jihomoravského kraje</v>
      </c>
      <c r="BV29" s="298">
        <f t="shared" si="42"/>
        <v>348</v>
      </c>
      <c r="BW29" s="296">
        <f t="shared" si="43"/>
        <v>2.4703703703703702E-3</v>
      </c>
      <c r="BX29" s="4">
        <v>22</v>
      </c>
      <c r="BY29" s="4">
        <f t="shared" si="44"/>
        <v>348.00247037037036</v>
      </c>
      <c r="BZ29" s="4">
        <v>22</v>
      </c>
      <c r="CA29" s="4">
        <f t="shared" si="45"/>
        <v>348.00247037037036</v>
      </c>
      <c r="CB29" s="5">
        <f t="shared" si="46"/>
        <v>22</v>
      </c>
    </row>
    <row r="30" spans="1:80" s="4" customFormat="1" ht="12.95" customHeight="1">
      <c r="A30" s="25">
        <v>23</v>
      </c>
      <c r="B30" s="23" t="str">
        <f>IF(VLOOKUP($A30,'STARTOVNÍ LISTINA'!$A$8:$E$37,2,0)="","",VLOOKUP($A30,'STARTOVNÍ LISTINA'!$A$8:$E$37,2,0))</f>
        <v/>
      </c>
      <c r="C30" s="54" t="str">
        <f>IF(VLOOKUP($A30,'STARTOVNÍ LISTINA'!$A$8:$E$37,3,0)="","",VLOOKUP($A30,'STARTOVNÍ LISTINA'!$A$8:$E$37,3,0))</f>
        <v/>
      </c>
      <c r="D30" s="54" t="str">
        <f>IF(VLOOKUP($A30,'STARTOVNÍ LISTINA'!$A$8:$E$37,4,0)="","",VLOOKUP($A30,'STARTOVNÍ LISTINA'!$A$8:$E$37,4,0))</f>
        <v/>
      </c>
      <c r="E30" s="90"/>
      <c r="F30" s="128">
        <f t="shared" si="47"/>
        <v>0</v>
      </c>
      <c r="G30" s="280"/>
      <c r="H30" s="281"/>
      <c r="I30" s="281"/>
      <c r="J30" s="281"/>
      <c r="K30" s="282"/>
      <c r="L30" s="87">
        <f t="shared" si="1"/>
        <v>0</v>
      </c>
      <c r="M30" s="85" t="str">
        <f t="shared" si="20"/>
        <v/>
      </c>
      <c r="N30" s="90"/>
      <c r="O30" s="128">
        <f t="shared" si="21"/>
        <v>0</v>
      </c>
      <c r="P30" s="93"/>
      <c r="Q30" s="81"/>
      <c r="R30" s="81"/>
      <c r="S30" s="81"/>
      <c r="T30" s="81"/>
      <c r="U30" s="87">
        <f t="shared" si="22"/>
        <v>0</v>
      </c>
      <c r="V30" s="24" t="str">
        <f t="shared" si="2"/>
        <v/>
      </c>
      <c r="W30" s="11"/>
      <c r="X30" s="264" t="str">
        <f t="shared" ca="1" si="3"/>
        <v/>
      </c>
      <c r="Y30" s="11"/>
      <c r="Z30" s="96">
        <v>23</v>
      </c>
      <c r="AB30" s="96" t="str">
        <f>IF(VLOOKUP(A30,'STARTOVNÍ LISTINA'!$A$8:$E$37,5,0)="POL","ANO","")</f>
        <v/>
      </c>
      <c r="AC30" s="259" t="str">
        <f t="shared" ca="1" si="23"/>
        <v/>
      </c>
      <c r="AD30" s="87" t="str">
        <f ca="1">IF(AC30="","",VLOOKUP(AI30,$AK$8:AN$37,4,0))</f>
        <v/>
      </c>
      <c r="AE30" s="268" t="str">
        <f t="shared" si="24"/>
        <v/>
      </c>
      <c r="AF30" s="87" t="str">
        <f t="shared" si="25"/>
        <v/>
      </c>
      <c r="AG30" s="103">
        <f t="shared" si="4"/>
        <v>23</v>
      </c>
      <c r="AI30" s="25">
        <v>23</v>
      </c>
      <c r="AJ30" s="261" t="str">
        <f t="shared" si="26"/>
        <v/>
      </c>
      <c r="AK30" s="275" t="str">
        <f t="shared" si="27"/>
        <v/>
      </c>
      <c r="AL30" s="272" t="str">
        <f t="shared" si="5"/>
        <v/>
      </c>
      <c r="AM30" s="275" t="str">
        <f t="shared" si="28"/>
        <v/>
      </c>
      <c r="AN30" s="138">
        <f t="shared" si="29"/>
        <v>23</v>
      </c>
      <c r="AP30" s="107" t="str">
        <f t="shared" si="6"/>
        <v/>
      </c>
      <c r="AQ30" s="124">
        <f t="shared" si="7"/>
        <v>0</v>
      </c>
      <c r="AR30" s="109" t="str">
        <f t="shared" si="8"/>
        <v/>
      </c>
      <c r="AS30" s="103">
        <f t="shared" si="9"/>
        <v>23</v>
      </c>
      <c r="AU30" s="25">
        <v>23</v>
      </c>
      <c r="AV30" s="109" t="str">
        <f t="shared" si="30"/>
        <v/>
      </c>
      <c r="AW30" s="137" t="str">
        <f t="shared" si="31"/>
        <v/>
      </c>
      <c r="AX30" s="138">
        <f t="shared" si="32"/>
        <v>23</v>
      </c>
      <c r="AY30" s="120"/>
      <c r="AZ30" s="148" t="str">
        <f t="shared" ca="1" si="33"/>
        <v/>
      </c>
      <c r="BA30" s="148" t="str">
        <f t="shared" ca="1" si="34"/>
        <v/>
      </c>
      <c r="BB30" s="148" t="str">
        <f t="shared" ca="1" si="35"/>
        <v/>
      </c>
      <c r="BC30" s="131" t="str">
        <f t="shared" ca="1" si="10"/>
        <v/>
      </c>
      <c r="BD30" s="4" t="str">
        <f t="shared" ca="1" si="36"/>
        <v/>
      </c>
      <c r="BE30" s="4" t="str">
        <f t="shared" ca="1" si="37"/>
        <v/>
      </c>
      <c r="BF30" s="147" t="str">
        <f t="shared" ca="1" si="38"/>
        <v/>
      </c>
      <c r="BG30" s="153" t="str">
        <f t="shared" ca="1" si="11"/>
        <v/>
      </c>
      <c r="BH30" s="154" t="str">
        <f t="shared" ca="1" si="12"/>
        <v/>
      </c>
      <c r="BI30" s="154" t="str">
        <f t="shared" ca="1" si="13"/>
        <v/>
      </c>
      <c r="BJ30" s="155" t="str">
        <f t="shared" ca="1" si="14"/>
        <v/>
      </c>
      <c r="BK30" s="156" t="str">
        <f t="shared" ca="1" si="15"/>
        <v/>
      </c>
      <c r="BL30" s="156" t="str">
        <f t="shared" ca="1" si="16"/>
        <v/>
      </c>
      <c r="BM30" s="157" t="str">
        <f t="shared" ca="1" si="39"/>
        <v/>
      </c>
      <c r="BO30" s="149">
        <v>23</v>
      </c>
      <c r="BP30" s="149" t="str">
        <f t="shared" ca="1" si="40"/>
        <v/>
      </c>
      <c r="BQ30" s="149" t="str">
        <f t="shared" ca="1" si="41"/>
        <v/>
      </c>
      <c r="BR30" s="150" t="str">
        <f t="shared" ca="1" si="17"/>
        <v/>
      </c>
      <c r="BS30" s="150" t="str">
        <f t="shared" ca="1" si="18"/>
        <v/>
      </c>
      <c r="BT30" s="150" t="str">
        <f t="shared" ca="1" si="19"/>
        <v/>
      </c>
      <c r="BV30" s="298" t="str">
        <f t="shared" si="42"/>
        <v/>
      </c>
      <c r="BW30" s="296" t="str">
        <f t="shared" si="43"/>
        <v/>
      </c>
    </row>
    <row r="31" spans="1:80" s="4" customFormat="1" ht="12.95" customHeight="1">
      <c r="A31" s="25">
        <v>24</v>
      </c>
      <c r="B31" s="23" t="str">
        <f>IF(VLOOKUP($A31,'STARTOVNÍ LISTINA'!$A$8:$E$37,2,0)="","",VLOOKUP($A31,'STARTOVNÍ LISTINA'!$A$8:$E$37,2,0))</f>
        <v/>
      </c>
      <c r="C31" s="54" t="str">
        <f>IF(VLOOKUP($A31,'STARTOVNÍ LISTINA'!$A$8:$E$37,3,0)="","",VLOOKUP($A31,'STARTOVNÍ LISTINA'!$A$8:$E$37,3,0))</f>
        <v/>
      </c>
      <c r="D31" s="54" t="str">
        <f>IF(VLOOKUP($A31,'STARTOVNÍ LISTINA'!$A$8:$E$37,4,0)="","",VLOOKUP($A31,'STARTOVNÍ LISTINA'!$A$8:$E$37,4,0))</f>
        <v/>
      </c>
      <c r="E31" s="90"/>
      <c r="F31" s="128">
        <f t="shared" si="47"/>
        <v>0</v>
      </c>
      <c r="G31" s="280"/>
      <c r="H31" s="281"/>
      <c r="I31" s="281"/>
      <c r="J31" s="281"/>
      <c r="K31" s="282"/>
      <c r="L31" s="87">
        <f t="shared" si="1"/>
        <v>0</v>
      </c>
      <c r="M31" s="85" t="str">
        <f t="shared" si="20"/>
        <v/>
      </c>
      <c r="N31" s="90"/>
      <c r="O31" s="128">
        <f t="shared" si="21"/>
        <v>0</v>
      </c>
      <c r="P31" s="93"/>
      <c r="Q31" s="81"/>
      <c r="R31" s="81"/>
      <c r="S31" s="81"/>
      <c r="T31" s="81"/>
      <c r="U31" s="87">
        <f t="shared" si="22"/>
        <v>0</v>
      </c>
      <c r="V31" s="24" t="str">
        <f t="shared" si="2"/>
        <v/>
      </c>
      <c r="W31" s="11"/>
      <c r="X31" s="264" t="str">
        <f t="shared" ca="1" si="3"/>
        <v/>
      </c>
      <c r="Y31" s="11"/>
      <c r="Z31" s="96">
        <v>24</v>
      </c>
      <c r="AB31" s="96" t="str">
        <f>IF(VLOOKUP(A31,'STARTOVNÍ LISTINA'!$A$8:$E$37,5,0)="POL","ANO","")</f>
        <v/>
      </c>
      <c r="AC31" s="259" t="str">
        <f t="shared" ca="1" si="23"/>
        <v/>
      </c>
      <c r="AD31" s="87" t="str">
        <f ca="1">IF(AC31="","",VLOOKUP(AI31,$AK$8:AN$37,4,0))</f>
        <v/>
      </c>
      <c r="AE31" s="268" t="str">
        <f t="shared" si="24"/>
        <v/>
      </c>
      <c r="AF31" s="87" t="str">
        <f t="shared" si="25"/>
        <v/>
      </c>
      <c r="AG31" s="103">
        <f t="shared" si="4"/>
        <v>24</v>
      </c>
      <c r="AI31" s="25">
        <v>24</v>
      </c>
      <c r="AJ31" s="261" t="str">
        <f t="shared" si="26"/>
        <v/>
      </c>
      <c r="AK31" s="275" t="str">
        <f t="shared" si="27"/>
        <v/>
      </c>
      <c r="AL31" s="272" t="str">
        <f t="shared" si="5"/>
        <v/>
      </c>
      <c r="AM31" s="275" t="str">
        <f t="shared" si="28"/>
        <v/>
      </c>
      <c r="AN31" s="138">
        <f t="shared" si="29"/>
        <v>24</v>
      </c>
      <c r="AP31" s="107" t="str">
        <f t="shared" si="6"/>
        <v/>
      </c>
      <c r="AQ31" s="124">
        <f t="shared" si="7"/>
        <v>0</v>
      </c>
      <c r="AR31" s="109" t="str">
        <f t="shared" si="8"/>
        <v/>
      </c>
      <c r="AS31" s="103">
        <f t="shared" si="9"/>
        <v>24</v>
      </c>
      <c r="AU31" s="25">
        <v>24</v>
      </c>
      <c r="AV31" s="109" t="str">
        <f t="shared" si="30"/>
        <v/>
      </c>
      <c r="AW31" s="137" t="str">
        <f t="shared" si="31"/>
        <v/>
      </c>
      <c r="AX31" s="138">
        <f t="shared" si="32"/>
        <v>24</v>
      </c>
      <c r="AY31" s="120"/>
      <c r="AZ31" s="148" t="str">
        <f t="shared" ca="1" si="33"/>
        <v/>
      </c>
      <c r="BA31" s="148" t="str">
        <f t="shared" ca="1" si="34"/>
        <v/>
      </c>
      <c r="BB31" s="148" t="str">
        <f t="shared" ca="1" si="35"/>
        <v/>
      </c>
      <c r="BC31" s="131" t="str">
        <f t="shared" ca="1" si="10"/>
        <v/>
      </c>
      <c r="BD31" s="4" t="str">
        <f t="shared" ca="1" si="36"/>
        <v/>
      </c>
      <c r="BE31" s="4" t="str">
        <f t="shared" ca="1" si="37"/>
        <v/>
      </c>
      <c r="BF31" s="147" t="str">
        <f t="shared" ca="1" si="38"/>
        <v/>
      </c>
      <c r="BG31" s="153" t="str">
        <f t="shared" ca="1" si="11"/>
        <v/>
      </c>
      <c r="BH31" s="154" t="str">
        <f t="shared" ca="1" si="12"/>
        <v/>
      </c>
      <c r="BI31" s="154" t="str">
        <f t="shared" ca="1" si="13"/>
        <v/>
      </c>
      <c r="BJ31" s="155" t="str">
        <f t="shared" ca="1" si="14"/>
        <v/>
      </c>
      <c r="BK31" s="156" t="str">
        <f t="shared" ca="1" si="15"/>
        <v/>
      </c>
      <c r="BL31" s="156" t="str">
        <f t="shared" ca="1" si="16"/>
        <v/>
      </c>
      <c r="BM31" s="157" t="str">
        <f t="shared" ca="1" si="39"/>
        <v/>
      </c>
      <c r="BO31" s="149">
        <v>24</v>
      </c>
      <c r="BP31" s="149" t="str">
        <f t="shared" ca="1" si="40"/>
        <v/>
      </c>
      <c r="BQ31" s="149" t="str">
        <f t="shared" ca="1" si="41"/>
        <v/>
      </c>
      <c r="BR31" s="150" t="str">
        <f t="shared" ca="1" si="17"/>
        <v/>
      </c>
      <c r="BS31" s="150" t="str">
        <f t="shared" ca="1" si="18"/>
        <v/>
      </c>
      <c r="BT31" s="150" t="str">
        <f t="shared" ca="1" si="19"/>
        <v/>
      </c>
      <c r="BV31" s="298" t="str">
        <f t="shared" si="42"/>
        <v/>
      </c>
      <c r="BW31" s="296" t="str">
        <f t="shared" si="43"/>
        <v/>
      </c>
    </row>
    <row r="32" spans="1:80" s="4" customFormat="1" ht="12.95" customHeight="1">
      <c r="A32" s="25">
        <v>25</v>
      </c>
      <c r="B32" s="23" t="str">
        <f>IF(VLOOKUP($A32,'STARTOVNÍ LISTINA'!$A$8:$E$37,2,0)="","",VLOOKUP($A32,'STARTOVNÍ LISTINA'!$A$8:$E$37,2,0))</f>
        <v/>
      </c>
      <c r="C32" s="54" t="str">
        <f>IF(VLOOKUP($A32,'STARTOVNÍ LISTINA'!$A$8:$E$37,3,0)="","",VLOOKUP($A32,'STARTOVNÍ LISTINA'!$A$8:$E$37,3,0))</f>
        <v/>
      </c>
      <c r="D32" s="54" t="str">
        <f>IF(VLOOKUP($A32,'STARTOVNÍ LISTINA'!$A$8:$E$37,4,0)="","",VLOOKUP($A32,'STARTOVNÍ LISTINA'!$A$8:$E$37,4,0))</f>
        <v/>
      </c>
      <c r="E32" s="90"/>
      <c r="F32" s="128">
        <f t="shared" si="47"/>
        <v>0</v>
      </c>
      <c r="G32" s="280"/>
      <c r="H32" s="281"/>
      <c r="I32" s="281"/>
      <c r="J32" s="281"/>
      <c r="K32" s="282"/>
      <c r="L32" s="87">
        <f t="shared" si="1"/>
        <v>0</v>
      </c>
      <c r="M32" s="85" t="str">
        <f t="shared" si="20"/>
        <v/>
      </c>
      <c r="N32" s="90"/>
      <c r="O32" s="128">
        <f t="shared" si="21"/>
        <v>0</v>
      </c>
      <c r="P32" s="93"/>
      <c r="Q32" s="81"/>
      <c r="R32" s="81"/>
      <c r="S32" s="81"/>
      <c r="T32" s="81"/>
      <c r="U32" s="87">
        <f t="shared" si="22"/>
        <v>0</v>
      </c>
      <c r="V32" s="24" t="str">
        <f t="shared" si="2"/>
        <v/>
      </c>
      <c r="W32" s="11"/>
      <c r="X32" s="264" t="str">
        <f t="shared" ca="1" si="3"/>
        <v/>
      </c>
      <c r="Y32" s="11"/>
      <c r="Z32" s="96">
        <v>25</v>
      </c>
      <c r="AB32" s="96" t="str">
        <f>IF(VLOOKUP(A32,'STARTOVNÍ LISTINA'!$A$8:$E$37,5,0)="POL","ANO","")</f>
        <v/>
      </c>
      <c r="AC32" s="259" t="str">
        <f t="shared" ca="1" si="23"/>
        <v/>
      </c>
      <c r="AD32" s="87" t="str">
        <f ca="1">IF(AC32="","",VLOOKUP(AI32,$AK$8:AN$37,4,0))</f>
        <v/>
      </c>
      <c r="AE32" s="268" t="str">
        <f t="shared" si="24"/>
        <v/>
      </c>
      <c r="AF32" s="87" t="str">
        <f t="shared" si="25"/>
        <v/>
      </c>
      <c r="AG32" s="103">
        <f t="shared" si="4"/>
        <v>25</v>
      </c>
      <c r="AI32" s="25">
        <v>25</v>
      </c>
      <c r="AJ32" s="261" t="str">
        <f t="shared" si="26"/>
        <v/>
      </c>
      <c r="AK32" s="275" t="str">
        <f t="shared" si="27"/>
        <v/>
      </c>
      <c r="AL32" s="272" t="str">
        <f t="shared" si="5"/>
        <v/>
      </c>
      <c r="AM32" s="275" t="str">
        <f t="shared" si="28"/>
        <v/>
      </c>
      <c r="AN32" s="138">
        <f t="shared" si="29"/>
        <v>25</v>
      </c>
      <c r="AP32" s="107" t="str">
        <f t="shared" si="6"/>
        <v/>
      </c>
      <c r="AQ32" s="124">
        <f t="shared" si="7"/>
        <v>0</v>
      </c>
      <c r="AR32" s="109" t="str">
        <f t="shared" si="8"/>
        <v/>
      </c>
      <c r="AS32" s="103">
        <f t="shared" si="9"/>
        <v>25</v>
      </c>
      <c r="AU32" s="25">
        <v>25</v>
      </c>
      <c r="AV32" s="109" t="str">
        <f t="shared" si="30"/>
        <v/>
      </c>
      <c r="AW32" s="137" t="str">
        <f t="shared" si="31"/>
        <v/>
      </c>
      <c r="AX32" s="138">
        <f t="shared" si="32"/>
        <v>25</v>
      </c>
      <c r="AY32" s="120"/>
      <c r="AZ32" s="148" t="str">
        <f t="shared" ca="1" si="33"/>
        <v/>
      </c>
      <c r="BA32" s="148" t="str">
        <f t="shared" ca="1" si="34"/>
        <v/>
      </c>
      <c r="BB32" s="148" t="str">
        <f t="shared" ref="BB32:BB37" ca="1" si="48">IF(AZ32="","",IF(BA32="","",SUM(AZ32:BA32)))</f>
        <v/>
      </c>
      <c r="BC32" s="131" t="str">
        <f t="shared" ca="1" si="10"/>
        <v/>
      </c>
      <c r="BD32" s="4" t="str">
        <f t="shared" ref="BD32:BD37" ca="1" si="49">IF(BB32="","",SMALL($BB$8:$BB$37,BC32))</f>
        <v/>
      </c>
      <c r="BE32" s="4" t="str">
        <f t="shared" ca="1" si="37"/>
        <v/>
      </c>
      <c r="BF32" s="147" t="str">
        <f t="shared" ca="1" si="38"/>
        <v/>
      </c>
      <c r="BG32" s="153" t="str">
        <f t="shared" ca="1" si="11"/>
        <v/>
      </c>
      <c r="BH32" s="154" t="str">
        <f t="shared" ca="1" si="12"/>
        <v/>
      </c>
      <c r="BI32" s="154" t="str">
        <f t="shared" ca="1" si="13"/>
        <v/>
      </c>
      <c r="BJ32" s="155" t="str">
        <f t="shared" ca="1" si="14"/>
        <v/>
      </c>
      <c r="BK32" s="156" t="str">
        <f t="shared" ca="1" si="15"/>
        <v/>
      </c>
      <c r="BL32" s="156" t="str">
        <f t="shared" ca="1" si="16"/>
        <v/>
      </c>
      <c r="BM32" s="157" t="str">
        <f t="shared" ref="BM32:BM37" ca="1" si="50">BC32</f>
        <v/>
      </c>
      <c r="BO32" s="149">
        <v>25</v>
      </c>
      <c r="BP32" s="149" t="str">
        <f t="shared" ca="1" si="40"/>
        <v/>
      </c>
      <c r="BQ32" s="149" t="str">
        <f t="shared" ca="1" si="41"/>
        <v/>
      </c>
      <c r="BR32" s="150" t="str">
        <f t="shared" ca="1" si="17"/>
        <v/>
      </c>
      <c r="BS32" s="150" t="str">
        <f t="shared" ca="1" si="18"/>
        <v/>
      </c>
      <c r="BT32" s="150" t="str">
        <f t="shared" ca="1" si="19"/>
        <v/>
      </c>
      <c r="BV32" s="298" t="str">
        <f t="shared" si="42"/>
        <v/>
      </c>
      <c r="BW32" s="296" t="str">
        <f t="shared" si="43"/>
        <v/>
      </c>
    </row>
    <row r="33" spans="1:79" ht="12.95" customHeight="1">
      <c r="A33" s="25">
        <v>26</v>
      </c>
      <c r="B33" s="23" t="str">
        <f>IF(VLOOKUP($A33,'STARTOVNÍ LISTINA'!$A$8:$E$37,2,0)="","",VLOOKUP($A33,'STARTOVNÍ LISTINA'!$A$8:$E$37,2,0))</f>
        <v/>
      </c>
      <c r="C33" s="54" t="str">
        <f>IF(VLOOKUP($A33,'STARTOVNÍ LISTINA'!$A$8:$E$37,3,0)="","",VLOOKUP($A33,'STARTOVNÍ LISTINA'!$A$8:$E$37,3,0))</f>
        <v/>
      </c>
      <c r="D33" s="54" t="str">
        <f>IF(VLOOKUP($A33,'STARTOVNÍ LISTINA'!$A$8:$E$37,4,0)="","",VLOOKUP($A33,'STARTOVNÍ LISTINA'!$A$8:$E$37,4,0))</f>
        <v/>
      </c>
      <c r="E33" s="90"/>
      <c r="F33" s="128">
        <f t="shared" si="47"/>
        <v>0</v>
      </c>
      <c r="G33" s="280"/>
      <c r="H33" s="281"/>
      <c r="I33" s="281"/>
      <c r="J33" s="281"/>
      <c r="K33" s="282"/>
      <c r="L33" s="87">
        <f t="shared" si="1"/>
        <v>0</v>
      </c>
      <c r="M33" s="85" t="str">
        <f t="shared" si="20"/>
        <v/>
      </c>
      <c r="N33" s="90"/>
      <c r="O33" s="128">
        <f t="shared" si="21"/>
        <v>0</v>
      </c>
      <c r="P33" s="93"/>
      <c r="Q33" s="81"/>
      <c r="R33" s="81"/>
      <c r="S33" s="81"/>
      <c r="T33" s="81"/>
      <c r="U33" s="87">
        <f t="shared" si="22"/>
        <v>0</v>
      </c>
      <c r="V33" s="24" t="str">
        <f t="shared" si="2"/>
        <v/>
      </c>
      <c r="W33" s="11"/>
      <c r="X33" s="264" t="str">
        <f t="shared" ca="1" si="3"/>
        <v/>
      </c>
      <c r="Y33" s="11"/>
      <c r="Z33" s="96">
        <v>26</v>
      </c>
      <c r="AA33" s="4"/>
      <c r="AB33" s="96" t="str">
        <f>IF(VLOOKUP(A33,'STARTOVNÍ LISTINA'!$A$8:$E$37,5,0)="POL","ANO","")</f>
        <v/>
      </c>
      <c r="AC33" s="259" t="str">
        <f t="shared" ca="1" si="23"/>
        <v/>
      </c>
      <c r="AD33" s="87" t="str">
        <f ca="1">IF(AC33="","",VLOOKUP(AI33,$AK$8:AN$37,4,0))</f>
        <v/>
      </c>
      <c r="AE33" s="268" t="str">
        <f t="shared" si="24"/>
        <v/>
      </c>
      <c r="AF33" s="87" t="str">
        <f t="shared" si="25"/>
        <v/>
      </c>
      <c r="AG33" s="103">
        <f t="shared" si="4"/>
        <v>26</v>
      </c>
      <c r="AI33" s="25">
        <v>26</v>
      </c>
      <c r="AJ33" s="261" t="str">
        <f t="shared" si="26"/>
        <v/>
      </c>
      <c r="AK33" s="275" t="str">
        <f t="shared" si="27"/>
        <v/>
      </c>
      <c r="AL33" s="272" t="str">
        <f t="shared" si="5"/>
        <v/>
      </c>
      <c r="AM33" s="275" t="str">
        <f t="shared" si="28"/>
        <v/>
      </c>
      <c r="AN33" s="138">
        <f t="shared" si="29"/>
        <v>26</v>
      </c>
      <c r="AO33" s="4"/>
      <c r="AP33" s="107" t="str">
        <f t="shared" si="6"/>
        <v/>
      </c>
      <c r="AQ33" s="124">
        <f t="shared" si="7"/>
        <v>0</v>
      </c>
      <c r="AR33" s="109" t="str">
        <f t="shared" si="8"/>
        <v/>
      </c>
      <c r="AS33" s="103">
        <f t="shared" si="9"/>
        <v>26</v>
      </c>
      <c r="AU33" s="25">
        <v>26</v>
      </c>
      <c r="AV33" s="109" t="str">
        <f t="shared" si="30"/>
        <v/>
      </c>
      <c r="AW33" s="137" t="str">
        <f t="shared" si="31"/>
        <v/>
      </c>
      <c r="AX33" s="138">
        <f t="shared" si="32"/>
        <v>26</v>
      </c>
      <c r="AY33" s="120"/>
      <c r="AZ33" s="148" t="str">
        <f t="shared" ca="1" si="33"/>
        <v/>
      </c>
      <c r="BA33" s="148" t="str">
        <f t="shared" ca="1" si="34"/>
        <v/>
      </c>
      <c r="BB33" s="148" t="str">
        <f t="shared" ca="1" si="48"/>
        <v/>
      </c>
      <c r="BC33" s="131" t="str">
        <f t="shared" ca="1" si="10"/>
        <v/>
      </c>
      <c r="BD33" s="4" t="str">
        <f t="shared" ca="1" si="49"/>
        <v/>
      </c>
      <c r="BE33" s="4" t="str">
        <f t="shared" ca="1" si="37"/>
        <v/>
      </c>
      <c r="BF33" s="147" t="str">
        <f t="shared" ca="1" si="38"/>
        <v/>
      </c>
      <c r="BG33" s="153" t="str">
        <f t="shared" ca="1" si="11"/>
        <v/>
      </c>
      <c r="BH33" s="154" t="str">
        <f t="shared" ca="1" si="12"/>
        <v/>
      </c>
      <c r="BI33" s="154" t="str">
        <f t="shared" ca="1" si="13"/>
        <v/>
      </c>
      <c r="BJ33" s="155" t="str">
        <f t="shared" ca="1" si="14"/>
        <v/>
      </c>
      <c r="BK33" s="156" t="str">
        <f t="shared" ca="1" si="15"/>
        <v/>
      </c>
      <c r="BL33" s="156" t="str">
        <f t="shared" ca="1" si="16"/>
        <v/>
      </c>
      <c r="BM33" s="157" t="str">
        <f t="shared" ca="1" si="50"/>
        <v/>
      </c>
      <c r="BN33" s="4"/>
      <c r="BO33" s="149">
        <v>26</v>
      </c>
      <c r="BP33" s="149" t="str">
        <f t="shared" ca="1" si="40"/>
        <v/>
      </c>
      <c r="BQ33" s="149" t="str">
        <f t="shared" ca="1" si="41"/>
        <v/>
      </c>
      <c r="BR33" s="150" t="str">
        <f t="shared" ca="1" si="17"/>
        <v/>
      </c>
      <c r="BS33" s="150" t="str">
        <f t="shared" ca="1" si="18"/>
        <v/>
      </c>
      <c r="BT33" s="150" t="str">
        <f t="shared" ca="1" si="19"/>
        <v/>
      </c>
      <c r="BU33" s="4"/>
      <c r="BV33" s="298" t="str">
        <f t="shared" si="42"/>
        <v/>
      </c>
      <c r="BW33" s="296" t="str">
        <f t="shared" si="43"/>
        <v/>
      </c>
      <c r="BX33" s="4"/>
      <c r="BY33" s="4"/>
      <c r="BZ33" s="4"/>
      <c r="CA33" s="4"/>
    </row>
    <row r="34" spans="1:79" ht="12.95" customHeight="1">
      <c r="A34" s="25">
        <v>27</v>
      </c>
      <c r="B34" s="23" t="str">
        <f>IF(VLOOKUP($A34,'STARTOVNÍ LISTINA'!$A$8:$E$37,2,0)="","",VLOOKUP($A34,'STARTOVNÍ LISTINA'!$A$8:$E$37,2,0))</f>
        <v/>
      </c>
      <c r="C34" s="54" t="str">
        <f>IF(VLOOKUP($A34,'STARTOVNÍ LISTINA'!$A$8:$E$37,3,0)="","",VLOOKUP($A34,'STARTOVNÍ LISTINA'!$A$8:$E$37,3,0))</f>
        <v/>
      </c>
      <c r="D34" s="54" t="str">
        <f>IF(VLOOKUP($A34,'STARTOVNÍ LISTINA'!$A$8:$E$37,4,0)="","",VLOOKUP($A34,'STARTOVNÍ LISTINA'!$A$8:$E$37,4,0))</f>
        <v/>
      </c>
      <c r="E34" s="90"/>
      <c r="F34" s="128">
        <f t="shared" si="47"/>
        <v>0</v>
      </c>
      <c r="G34" s="280"/>
      <c r="H34" s="281"/>
      <c r="I34" s="281"/>
      <c r="J34" s="281"/>
      <c r="K34" s="282"/>
      <c r="L34" s="87">
        <f t="shared" si="1"/>
        <v>0</v>
      </c>
      <c r="M34" s="85" t="str">
        <f t="shared" si="20"/>
        <v/>
      </c>
      <c r="N34" s="90"/>
      <c r="O34" s="128">
        <f t="shared" si="21"/>
        <v>0</v>
      </c>
      <c r="P34" s="93"/>
      <c r="Q34" s="81"/>
      <c r="R34" s="81"/>
      <c r="S34" s="81"/>
      <c r="T34" s="81"/>
      <c r="U34" s="87">
        <f t="shared" si="22"/>
        <v>0</v>
      </c>
      <c r="V34" s="24" t="str">
        <f t="shared" si="2"/>
        <v/>
      </c>
      <c r="W34" s="11"/>
      <c r="X34" s="264" t="str">
        <f t="shared" ca="1" si="3"/>
        <v/>
      </c>
      <c r="Y34" s="11"/>
      <c r="Z34" s="96">
        <v>27</v>
      </c>
      <c r="AA34" s="4"/>
      <c r="AB34" s="96" t="str">
        <f>IF(VLOOKUP(A34,'STARTOVNÍ LISTINA'!$A$8:$E$37,5,0)="POL","ANO","")</f>
        <v/>
      </c>
      <c r="AC34" s="259" t="str">
        <f t="shared" ca="1" si="23"/>
        <v/>
      </c>
      <c r="AD34" s="87" t="str">
        <f ca="1">IF(AC34="","",VLOOKUP(AI34,$AK$8:AN$37,4,0))</f>
        <v/>
      </c>
      <c r="AE34" s="268" t="str">
        <f t="shared" si="24"/>
        <v/>
      </c>
      <c r="AF34" s="87" t="str">
        <f t="shared" si="25"/>
        <v/>
      </c>
      <c r="AG34" s="103">
        <f t="shared" si="4"/>
        <v>27</v>
      </c>
      <c r="AI34" s="25">
        <v>27</v>
      </c>
      <c r="AJ34" s="261" t="str">
        <f t="shared" si="26"/>
        <v/>
      </c>
      <c r="AK34" s="275" t="str">
        <f t="shared" si="27"/>
        <v/>
      </c>
      <c r="AL34" s="272" t="str">
        <f t="shared" si="5"/>
        <v/>
      </c>
      <c r="AM34" s="275" t="str">
        <f t="shared" si="28"/>
        <v/>
      </c>
      <c r="AN34" s="138">
        <f t="shared" si="29"/>
        <v>27</v>
      </c>
      <c r="AO34" s="4"/>
      <c r="AP34" s="107" t="str">
        <f t="shared" si="6"/>
        <v/>
      </c>
      <c r="AQ34" s="124">
        <f t="shared" si="7"/>
        <v>0</v>
      </c>
      <c r="AR34" s="109" t="str">
        <f t="shared" si="8"/>
        <v/>
      </c>
      <c r="AS34" s="103">
        <f t="shared" si="9"/>
        <v>27</v>
      </c>
      <c r="AU34" s="25">
        <v>27</v>
      </c>
      <c r="AV34" s="109" t="str">
        <f t="shared" si="30"/>
        <v/>
      </c>
      <c r="AW34" s="137" t="str">
        <f t="shared" si="31"/>
        <v/>
      </c>
      <c r="AX34" s="138">
        <f t="shared" si="32"/>
        <v>27</v>
      </c>
      <c r="AY34" s="120"/>
      <c r="AZ34" s="148" t="str">
        <f t="shared" ca="1" si="33"/>
        <v/>
      </c>
      <c r="BA34" s="148" t="str">
        <f t="shared" ca="1" si="34"/>
        <v/>
      </c>
      <c r="BB34" s="148" t="str">
        <f t="shared" ca="1" si="48"/>
        <v/>
      </c>
      <c r="BC34" s="131" t="str">
        <f t="shared" ca="1" si="10"/>
        <v/>
      </c>
      <c r="BD34" s="4" t="str">
        <f t="shared" ca="1" si="49"/>
        <v/>
      </c>
      <c r="BE34" s="4" t="str">
        <f t="shared" ca="1" si="37"/>
        <v/>
      </c>
      <c r="BF34" s="147" t="str">
        <f t="shared" ca="1" si="38"/>
        <v/>
      </c>
      <c r="BG34" s="153" t="str">
        <f t="shared" ca="1" si="11"/>
        <v/>
      </c>
      <c r="BH34" s="154" t="str">
        <f t="shared" ca="1" si="12"/>
        <v/>
      </c>
      <c r="BI34" s="154" t="str">
        <f t="shared" ca="1" si="13"/>
        <v/>
      </c>
      <c r="BJ34" s="155" t="str">
        <f t="shared" ca="1" si="14"/>
        <v/>
      </c>
      <c r="BK34" s="156" t="str">
        <f t="shared" ca="1" si="15"/>
        <v/>
      </c>
      <c r="BL34" s="156" t="str">
        <f t="shared" ca="1" si="16"/>
        <v/>
      </c>
      <c r="BM34" s="157" t="str">
        <f t="shared" ca="1" si="50"/>
        <v/>
      </c>
      <c r="BN34" s="4"/>
      <c r="BO34" s="149">
        <v>27</v>
      </c>
      <c r="BP34" s="149" t="str">
        <f t="shared" ca="1" si="40"/>
        <v/>
      </c>
      <c r="BQ34" s="149" t="str">
        <f t="shared" ca="1" si="41"/>
        <v/>
      </c>
      <c r="BR34" s="150" t="str">
        <f t="shared" ca="1" si="17"/>
        <v/>
      </c>
      <c r="BS34" s="150" t="str">
        <f t="shared" ca="1" si="18"/>
        <v/>
      </c>
      <c r="BT34" s="150" t="str">
        <f t="shared" ca="1" si="19"/>
        <v/>
      </c>
      <c r="BU34" s="4"/>
      <c r="BV34" s="298" t="str">
        <f t="shared" si="42"/>
        <v/>
      </c>
      <c r="BW34" s="296" t="str">
        <f t="shared" si="43"/>
        <v/>
      </c>
      <c r="BX34" s="4"/>
      <c r="BY34" s="4"/>
      <c r="BZ34" s="4"/>
      <c r="CA34" s="4"/>
    </row>
    <row r="35" spans="1:79" ht="12.95" customHeight="1">
      <c r="A35" s="25">
        <v>28</v>
      </c>
      <c r="B35" s="23" t="str">
        <f>IF(VLOOKUP($A35,'STARTOVNÍ LISTINA'!$A$8:$E$37,2,0)="","",VLOOKUP($A35,'STARTOVNÍ LISTINA'!$A$8:$E$37,2,0))</f>
        <v/>
      </c>
      <c r="C35" s="54" t="str">
        <f>IF(VLOOKUP($A35,'STARTOVNÍ LISTINA'!$A$8:$E$37,3,0)="","",VLOOKUP($A35,'STARTOVNÍ LISTINA'!$A$8:$E$37,3,0))</f>
        <v/>
      </c>
      <c r="D35" s="54" t="str">
        <f>IF(VLOOKUP($A35,'STARTOVNÍ LISTINA'!$A$8:$E$37,4,0)="","",VLOOKUP($A35,'STARTOVNÍ LISTINA'!$A$8:$E$37,4,0))</f>
        <v/>
      </c>
      <c r="E35" s="90"/>
      <c r="F35" s="128">
        <f t="shared" si="47"/>
        <v>0</v>
      </c>
      <c r="G35" s="280"/>
      <c r="H35" s="281"/>
      <c r="I35" s="281"/>
      <c r="J35" s="281"/>
      <c r="K35" s="282"/>
      <c r="L35" s="87">
        <f t="shared" si="1"/>
        <v>0</v>
      </c>
      <c r="M35" s="85" t="str">
        <f t="shared" si="20"/>
        <v/>
      </c>
      <c r="N35" s="90"/>
      <c r="O35" s="128">
        <f t="shared" si="21"/>
        <v>0</v>
      </c>
      <c r="P35" s="93"/>
      <c r="Q35" s="81"/>
      <c r="R35" s="81"/>
      <c r="S35" s="81"/>
      <c r="T35" s="81"/>
      <c r="U35" s="87">
        <f t="shared" si="22"/>
        <v>0</v>
      </c>
      <c r="V35" s="24" t="str">
        <f t="shared" si="2"/>
        <v/>
      </c>
      <c r="W35" s="11"/>
      <c r="X35" s="264" t="str">
        <f t="shared" ca="1" si="3"/>
        <v/>
      </c>
      <c r="Y35" s="11"/>
      <c r="Z35" s="96">
        <v>28</v>
      </c>
      <c r="AA35" s="4"/>
      <c r="AB35" s="96" t="str">
        <f>IF(VLOOKUP(A35,'STARTOVNÍ LISTINA'!$A$8:$E$37,5,0)="POL","ANO","")</f>
        <v/>
      </c>
      <c r="AC35" s="259" t="str">
        <f t="shared" ca="1" si="23"/>
        <v/>
      </c>
      <c r="AD35" s="87" t="str">
        <f ca="1">IF(AC35="","",VLOOKUP(AI35,$AK$8:AN$37,4,0))</f>
        <v/>
      </c>
      <c r="AE35" s="268" t="str">
        <f t="shared" si="24"/>
        <v/>
      </c>
      <c r="AF35" s="87" t="str">
        <f t="shared" si="25"/>
        <v/>
      </c>
      <c r="AG35" s="103">
        <f t="shared" si="4"/>
        <v>28</v>
      </c>
      <c r="AI35" s="25">
        <v>28</v>
      </c>
      <c r="AJ35" s="261" t="str">
        <f t="shared" si="26"/>
        <v/>
      </c>
      <c r="AK35" s="275" t="str">
        <f t="shared" si="27"/>
        <v/>
      </c>
      <c r="AL35" s="272" t="str">
        <f t="shared" si="5"/>
        <v/>
      </c>
      <c r="AM35" s="275" t="str">
        <f t="shared" si="28"/>
        <v/>
      </c>
      <c r="AN35" s="138">
        <f t="shared" si="29"/>
        <v>28</v>
      </c>
      <c r="AO35" s="4"/>
      <c r="AP35" s="107" t="str">
        <f t="shared" si="6"/>
        <v/>
      </c>
      <c r="AQ35" s="124">
        <f t="shared" si="7"/>
        <v>0</v>
      </c>
      <c r="AR35" s="109" t="str">
        <f t="shared" si="8"/>
        <v/>
      </c>
      <c r="AS35" s="103">
        <f t="shared" si="9"/>
        <v>28</v>
      </c>
      <c r="AU35" s="25">
        <v>28</v>
      </c>
      <c r="AV35" s="109" t="str">
        <f t="shared" si="30"/>
        <v/>
      </c>
      <c r="AW35" s="137" t="str">
        <f t="shared" si="31"/>
        <v/>
      </c>
      <c r="AX35" s="138">
        <f t="shared" si="32"/>
        <v>28</v>
      </c>
      <c r="AY35" s="120"/>
      <c r="AZ35" s="148" t="str">
        <f t="shared" ca="1" si="33"/>
        <v/>
      </c>
      <c r="BA35" s="148" t="str">
        <f t="shared" ca="1" si="34"/>
        <v/>
      </c>
      <c r="BB35" s="148" t="str">
        <f t="shared" ca="1" si="48"/>
        <v/>
      </c>
      <c r="BC35" s="131" t="str">
        <f t="shared" ca="1" si="10"/>
        <v/>
      </c>
      <c r="BD35" s="4" t="str">
        <f t="shared" ca="1" si="49"/>
        <v/>
      </c>
      <c r="BE35" s="4" t="str">
        <f t="shared" ca="1" si="37"/>
        <v/>
      </c>
      <c r="BF35" s="147" t="str">
        <f t="shared" ca="1" si="38"/>
        <v/>
      </c>
      <c r="BG35" s="153" t="str">
        <f t="shared" ca="1" si="11"/>
        <v/>
      </c>
      <c r="BH35" s="154" t="str">
        <f t="shared" ca="1" si="12"/>
        <v/>
      </c>
      <c r="BI35" s="154" t="str">
        <f t="shared" ca="1" si="13"/>
        <v/>
      </c>
      <c r="BJ35" s="155" t="str">
        <f t="shared" ca="1" si="14"/>
        <v/>
      </c>
      <c r="BK35" s="156" t="str">
        <f t="shared" ca="1" si="15"/>
        <v/>
      </c>
      <c r="BL35" s="156" t="str">
        <f t="shared" ca="1" si="16"/>
        <v/>
      </c>
      <c r="BM35" s="157" t="str">
        <f t="shared" ca="1" si="50"/>
        <v/>
      </c>
      <c r="BN35" s="4"/>
      <c r="BO35" s="149">
        <v>28</v>
      </c>
      <c r="BP35" s="149" t="str">
        <f t="shared" ca="1" si="40"/>
        <v/>
      </c>
      <c r="BQ35" s="149" t="str">
        <f t="shared" ca="1" si="41"/>
        <v/>
      </c>
      <c r="BR35" s="150" t="str">
        <f t="shared" ca="1" si="17"/>
        <v/>
      </c>
      <c r="BS35" s="150" t="str">
        <f t="shared" ca="1" si="18"/>
        <v/>
      </c>
      <c r="BT35" s="150" t="str">
        <f t="shared" ca="1" si="19"/>
        <v/>
      </c>
      <c r="BU35" s="4"/>
      <c r="BV35" s="298" t="str">
        <f t="shared" si="42"/>
        <v/>
      </c>
      <c r="BW35" s="296" t="str">
        <f t="shared" si="43"/>
        <v/>
      </c>
      <c r="BX35" s="4"/>
      <c r="BY35" s="4"/>
      <c r="BZ35" s="4"/>
      <c r="CA35" s="4"/>
    </row>
    <row r="36" spans="1:79" ht="12.95" customHeight="1">
      <c r="A36" s="25">
        <v>29</v>
      </c>
      <c r="B36" s="23" t="str">
        <f>IF(VLOOKUP($A36,'STARTOVNÍ LISTINA'!$A$8:$E$37,2,0)="","",VLOOKUP($A36,'STARTOVNÍ LISTINA'!$A$8:$E$37,2,0))</f>
        <v/>
      </c>
      <c r="C36" s="54" t="str">
        <f>IF(VLOOKUP($A36,'STARTOVNÍ LISTINA'!$A$8:$E$37,3,0)="","",VLOOKUP($A36,'STARTOVNÍ LISTINA'!$A$8:$E$37,3,0))</f>
        <v/>
      </c>
      <c r="D36" s="54" t="str">
        <f>IF(VLOOKUP($A36,'STARTOVNÍ LISTINA'!$A$8:$E$37,4,0)="","",VLOOKUP($A36,'STARTOVNÍ LISTINA'!$A$8:$E$37,4,0))</f>
        <v/>
      </c>
      <c r="E36" s="90"/>
      <c r="F36" s="128">
        <f t="shared" si="47"/>
        <v>0</v>
      </c>
      <c r="G36" s="280"/>
      <c r="H36" s="281"/>
      <c r="I36" s="281"/>
      <c r="J36" s="281"/>
      <c r="K36" s="282"/>
      <c r="L36" s="87">
        <f t="shared" si="1"/>
        <v>0</v>
      </c>
      <c r="M36" s="85" t="str">
        <f t="shared" si="20"/>
        <v/>
      </c>
      <c r="N36" s="90"/>
      <c r="O36" s="128">
        <f t="shared" si="21"/>
        <v>0</v>
      </c>
      <c r="P36" s="93"/>
      <c r="Q36" s="81"/>
      <c r="R36" s="81"/>
      <c r="S36" s="81"/>
      <c r="T36" s="81"/>
      <c r="U36" s="87">
        <f t="shared" si="22"/>
        <v>0</v>
      </c>
      <c r="V36" s="24" t="str">
        <f t="shared" si="2"/>
        <v/>
      </c>
      <c r="W36" s="11"/>
      <c r="X36" s="264" t="str">
        <f t="shared" ca="1" si="3"/>
        <v/>
      </c>
      <c r="Y36" s="11"/>
      <c r="Z36" s="96">
        <v>29</v>
      </c>
      <c r="AA36" s="4"/>
      <c r="AB36" s="96" t="str">
        <f>IF(VLOOKUP(A36,'STARTOVNÍ LISTINA'!$A$8:$E$37,5,0)="POL","ANO","")</f>
        <v/>
      </c>
      <c r="AC36" s="259" t="str">
        <f t="shared" ca="1" si="23"/>
        <v/>
      </c>
      <c r="AD36" s="87" t="str">
        <f ca="1">IF(AC36="","",VLOOKUP(AI36,$AK$8:AN$37,4,0))</f>
        <v/>
      </c>
      <c r="AE36" s="268" t="str">
        <f t="shared" si="24"/>
        <v/>
      </c>
      <c r="AF36" s="87" t="str">
        <f t="shared" si="25"/>
        <v/>
      </c>
      <c r="AG36" s="103">
        <f t="shared" si="4"/>
        <v>29</v>
      </c>
      <c r="AI36" s="25">
        <v>29</v>
      </c>
      <c r="AJ36" s="261" t="str">
        <f t="shared" si="26"/>
        <v/>
      </c>
      <c r="AK36" s="275" t="str">
        <f t="shared" si="27"/>
        <v/>
      </c>
      <c r="AL36" s="272" t="str">
        <f t="shared" si="5"/>
        <v/>
      </c>
      <c r="AM36" s="275" t="str">
        <f t="shared" si="28"/>
        <v/>
      </c>
      <c r="AN36" s="138">
        <f t="shared" si="29"/>
        <v>29</v>
      </c>
      <c r="AO36" s="4"/>
      <c r="AP36" s="107" t="str">
        <f t="shared" si="6"/>
        <v/>
      </c>
      <c r="AQ36" s="124">
        <f t="shared" si="7"/>
        <v>0</v>
      </c>
      <c r="AR36" s="109" t="str">
        <f t="shared" si="8"/>
        <v/>
      </c>
      <c r="AS36" s="103">
        <f t="shared" si="9"/>
        <v>29</v>
      </c>
      <c r="AU36" s="25">
        <v>29</v>
      </c>
      <c r="AV36" s="109" t="str">
        <f t="shared" si="30"/>
        <v/>
      </c>
      <c r="AW36" s="137" t="str">
        <f t="shared" si="31"/>
        <v/>
      </c>
      <c r="AX36" s="138">
        <f t="shared" si="32"/>
        <v>29</v>
      </c>
      <c r="AY36" s="120"/>
      <c r="AZ36" s="148" t="str">
        <f t="shared" ca="1" si="33"/>
        <v/>
      </c>
      <c r="BA36" s="148" t="str">
        <f t="shared" ca="1" si="34"/>
        <v/>
      </c>
      <c r="BB36" s="148" t="str">
        <f t="shared" ca="1" si="48"/>
        <v/>
      </c>
      <c r="BC36" s="131" t="str">
        <f t="shared" ca="1" si="10"/>
        <v/>
      </c>
      <c r="BD36" s="4" t="str">
        <f t="shared" ca="1" si="49"/>
        <v/>
      </c>
      <c r="BE36" s="4" t="str">
        <f t="shared" ca="1" si="37"/>
        <v/>
      </c>
      <c r="BF36" s="147" t="str">
        <f t="shared" ca="1" si="38"/>
        <v/>
      </c>
      <c r="BG36" s="153" t="str">
        <f t="shared" ca="1" si="11"/>
        <v/>
      </c>
      <c r="BH36" s="154" t="str">
        <f t="shared" ca="1" si="12"/>
        <v/>
      </c>
      <c r="BI36" s="154" t="str">
        <f t="shared" ca="1" si="13"/>
        <v/>
      </c>
      <c r="BJ36" s="155" t="str">
        <f t="shared" ca="1" si="14"/>
        <v/>
      </c>
      <c r="BK36" s="156" t="str">
        <f t="shared" ca="1" si="15"/>
        <v/>
      </c>
      <c r="BL36" s="156" t="str">
        <f t="shared" ca="1" si="16"/>
        <v/>
      </c>
      <c r="BM36" s="157" t="str">
        <f t="shared" ca="1" si="50"/>
        <v/>
      </c>
      <c r="BN36" s="4"/>
      <c r="BO36" s="149">
        <v>29</v>
      </c>
      <c r="BP36" s="149" t="str">
        <f t="shared" ca="1" si="40"/>
        <v/>
      </c>
      <c r="BQ36" s="149" t="str">
        <f t="shared" ca="1" si="41"/>
        <v/>
      </c>
      <c r="BR36" s="150" t="str">
        <f t="shared" ca="1" si="17"/>
        <v/>
      </c>
      <c r="BS36" s="150" t="str">
        <f t="shared" ca="1" si="18"/>
        <v/>
      </c>
      <c r="BT36" s="150" t="str">
        <f t="shared" ca="1" si="19"/>
        <v/>
      </c>
      <c r="BU36" s="4"/>
      <c r="BV36" s="298" t="str">
        <f t="shared" si="42"/>
        <v/>
      </c>
      <c r="BW36" s="296" t="str">
        <f t="shared" si="43"/>
        <v/>
      </c>
      <c r="BX36" s="4"/>
      <c r="BY36" s="4"/>
      <c r="BZ36" s="4"/>
      <c r="CA36" s="4"/>
    </row>
    <row r="37" spans="1:79" ht="12.95" customHeight="1" thickBot="1">
      <c r="A37" s="26">
        <v>30</v>
      </c>
      <c r="B37" s="27" t="str">
        <f>IF(VLOOKUP($A37,'STARTOVNÍ LISTINA'!$A$8:$E$37,2,0)="","",VLOOKUP($A37,'STARTOVNÍ LISTINA'!$A$8:$E$37,2,0))</f>
        <v/>
      </c>
      <c r="C37" s="55" t="str">
        <f>IF(VLOOKUP($A37,'STARTOVNÍ LISTINA'!$A$8:$E$37,3,0)="","",VLOOKUP($A37,'STARTOVNÍ LISTINA'!$A$8:$E$37,3,0))</f>
        <v/>
      </c>
      <c r="D37" s="55" t="str">
        <f>IF(VLOOKUP($A37,'STARTOVNÍ LISTINA'!$A$8:$E$37,4,0)="","",VLOOKUP($A37,'STARTOVNÍ LISTINA'!$A$8:$E$37,4,0))</f>
        <v/>
      </c>
      <c r="E37" s="91"/>
      <c r="F37" s="129">
        <f t="shared" si="47"/>
        <v>0</v>
      </c>
      <c r="G37" s="94"/>
      <c r="H37" s="283"/>
      <c r="I37" s="283"/>
      <c r="J37" s="283"/>
      <c r="K37" s="284"/>
      <c r="L37" s="88">
        <f t="shared" si="1"/>
        <v>0</v>
      </c>
      <c r="M37" s="84" t="str">
        <f t="shared" si="20"/>
        <v/>
      </c>
      <c r="N37" s="91"/>
      <c r="O37" s="129">
        <f t="shared" si="21"/>
        <v>0</v>
      </c>
      <c r="P37" s="94"/>
      <c r="Q37" s="82"/>
      <c r="R37" s="82"/>
      <c r="S37" s="82"/>
      <c r="T37" s="82"/>
      <c r="U37" s="88">
        <f t="shared" si="22"/>
        <v>0</v>
      </c>
      <c r="V37" s="21" t="str">
        <f t="shared" si="2"/>
        <v/>
      </c>
      <c r="W37" s="11"/>
      <c r="X37" s="265" t="str">
        <f t="shared" ca="1" si="3"/>
        <v/>
      </c>
      <c r="Y37" s="11"/>
      <c r="Z37" s="97">
        <v>30</v>
      </c>
      <c r="AA37" s="4"/>
      <c r="AB37" s="97" t="str">
        <f>IF(VLOOKUP(A37,'STARTOVNÍ LISTINA'!$A$8:$E$37,5,0)="POL","ANO","")</f>
        <v/>
      </c>
      <c r="AC37" s="260" t="str">
        <f t="shared" ca="1" si="23"/>
        <v/>
      </c>
      <c r="AD37" s="88" t="str">
        <f ca="1">IF(AC37="","",VLOOKUP(AI37,$AK$8:AN$37,4,0))</f>
        <v/>
      </c>
      <c r="AE37" s="269" t="str">
        <f t="shared" si="24"/>
        <v/>
      </c>
      <c r="AF37" s="88" t="str">
        <f t="shared" si="25"/>
        <v/>
      </c>
      <c r="AG37" s="104">
        <f t="shared" si="4"/>
        <v>30</v>
      </c>
      <c r="AI37" s="26">
        <v>30</v>
      </c>
      <c r="AJ37" s="262" t="str">
        <f t="shared" si="26"/>
        <v/>
      </c>
      <c r="AK37" s="276" t="str">
        <f t="shared" si="27"/>
        <v/>
      </c>
      <c r="AL37" s="273" t="str">
        <f t="shared" si="5"/>
        <v/>
      </c>
      <c r="AM37" s="276" t="str">
        <f t="shared" si="28"/>
        <v/>
      </c>
      <c r="AN37" s="140">
        <f t="shared" si="29"/>
        <v>30</v>
      </c>
      <c r="AO37" s="4"/>
      <c r="AP37" s="108" t="str">
        <f t="shared" si="6"/>
        <v/>
      </c>
      <c r="AQ37" s="125">
        <f t="shared" si="7"/>
        <v>0</v>
      </c>
      <c r="AR37" s="130" t="str">
        <f t="shared" si="8"/>
        <v/>
      </c>
      <c r="AS37" s="104">
        <f t="shared" si="9"/>
        <v>30</v>
      </c>
      <c r="AU37" s="26">
        <v>30</v>
      </c>
      <c r="AV37" s="113" t="str">
        <f t="shared" si="30"/>
        <v/>
      </c>
      <c r="AW37" s="139" t="str">
        <f t="shared" si="31"/>
        <v/>
      </c>
      <c r="AX37" s="140">
        <f t="shared" si="32"/>
        <v>30</v>
      </c>
      <c r="AY37" s="120"/>
      <c r="AZ37" s="148" t="str">
        <f t="shared" ca="1" si="33"/>
        <v/>
      </c>
      <c r="BA37" s="148" t="str">
        <f t="shared" ca="1" si="34"/>
        <v/>
      </c>
      <c r="BB37" s="148" t="str">
        <f t="shared" ca="1" si="48"/>
        <v/>
      </c>
      <c r="BC37" s="131" t="str">
        <f t="shared" ca="1" si="10"/>
        <v/>
      </c>
      <c r="BD37" s="4" t="str">
        <f t="shared" ca="1" si="49"/>
        <v/>
      </c>
      <c r="BE37" s="4" t="str">
        <f t="shared" ca="1" si="37"/>
        <v/>
      </c>
      <c r="BF37" s="147" t="str">
        <f t="shared" ca="1" si="38"/>
        <v/>
      </c>
      <c r="BG37" s="153" t="str">
        <f t="shared" ca="1" si="11"/>
        <v/>
      </c>
      <c r="BH37" s="154" t="str">
        <f t="shared" ca="1" si="12"/>
        <v/>
      </c>
      <c r="BI37" s="154" t="str">
        <f t="shared" ca="1" si="13"/>
        <v/>
      </c>
      <c r="BJ37" s="155" t="str">
        <f t="shared" ca="1" si="14"/>
        <v/>
      </c>
      <c r="BK37" s="156" t="str">
        <f t="shared" ca="1" si="15"/>
        <v/>
      </c>
      <c r="BL37" s="156" t="str">
        <f t="shared" ca="1" si="16"/>
        <v/>
      </c>
      <c r="BM37" s="157" t="str">
        <f t="shared" ca="1" si="50"/>
        <v/>
      </c>
      <c r="BN37" s="4"/>
      <c r="BO37" s="149">
        <v>30</v>
      </c>
      <c r="BP37" s="149" t="str">
        <f t="shared" ca="1" si="40"/>
        <v/>
      </c>
      <c r="BQ37" s="149" t="str">
        <f t="shared" ca="1" si="41"/>
        <v/>
      </c>
      <c r="BR37" s="150" t="str">
        <f t="shared" ca="1" si="17"/>
        <v/>
      </c>
      <c r="BS37" s="150" t="str">
        <f t="shared" ca="1" si="18"/>
        <v/>
      </c>
      <c r="BT37" s="150" t="str">
        <f t="shared" ca="1" si="19"/>
        <v/>
      </c>
      <c r="BU37" s="4"/>
      <c r="BV37" s="298" t="str">
        <f t="shared" si="42"/>
        <v/>
      </c>
      <c r="BW37" s="296" t="str">
        <f t="shared" si="43"/>
        <v/>
      </c>
      <c r="BX37" s="4"/>
      <c r="BY37" s="4"/>
      <c r="BZ37" s="4"/>
      <c r="CA37" s="4"/>
    </row>
    <row r="38" spans="1:79"/>
    <row r="39" spans="1:79">
      <c r="E39" s="258"/>
      <c r="N39" s="288"/>
      <c r="AC39" s="285" t="s">
        <v>138</v>
      </c>
    </row>
    <row r="40" spans="1:79">
      <c r="E40" s="288"/>
      <c r="N40" s="288">
        <f>22-COUNT(N8:N37)</f>
        <v>0</v>
      </c>
      <c r="AC40" s="285" t="s">
        <v>139</v>
      </c>
    </row>
    <row r="41" spans="1:79">
      <c r="E41" s="288"/>
      <c r="N41" s="122"/>
    </row>
    <row r="42" spans="1:79">
      <c r="E42" s="288"/>
      <c r="N42" s="122"/>
    </row>
    <row r="43" spans="1:79">
      <c r="E43" s="288"/>
      <c r="N43" s="122"/>
    </row>
    <row r="44" spans="1:79">
      <c r="E44" s="288"/>
      <c r="N44" s="122"/>
    </row>
    <row r="45" spans="1:79">
      <c r="E45" s="288"/>
      <c r="N45" s="122"/>
    </row>
    <row r="46" spans="1:79">
      <c r="E46" s="288"/>
      <c r="N46" s="122"/>
    </row>
    <row r="47" spans="1:79">
      <c r="E47" s="288"/>
      <c r="N47" s="122"/>
    </row>
    <row r="48" spans="1:79">
      <c r="E48" s="288"/>
      <c r="N48" s="122"/>
    </row>
    <row r="49" spans="5:14">
      <c r="E49" s="288"/>
      <c r="N49" s="122"/>
    </row>
    <row r="50" spans="5:14">
      <c r="E50" s="288"/>
      <c r="N50" s="122"/>
    </row>
    <row r="51" spans="5:14">
      <c r="E51" s="288"/>
      <c r="N51" s="122"/>
    </row>
    <row r="52" spans="5:14">
      <c r="E52" s="288"/>
      <c r="N52" s="122"/>
    </row>
    <row r="53" spans="5:14">
      <c r="E53" s="288"/>
      <c r="N53" s="122"/>
    </row>
    <row r="54" spans="5:14">
      <c r="E54" s="288"/>
      <c r="N54" s="122"/>
    </row>
    <row r="55" spans="5:14">
      <c r="E55" s="288"/>
      <c r="N55" s="122"/>
    </row>
    <row r="56" spans="5:14">
      <c r="E56" s="288"/>
      <c r="N56" s="122"/>
    </row>
    <row r="57" spans="5:14">
      <c r="E57" s="288"/>
      <c r="N57" s="122"/>
    </row>
    <row r="58" spans="5:14">
      <c r="E58" s="288"/>
      <c r="N58" s="122"/>
    </row>
    <row r="59" spans="5:14">
      <c r="E59" s="288"/>
      <c r="N59" s="122"/>
    </row>
    <row r="60" spans="5:14">
      <c r="E60" s="288"/>
      <c r="N60" s="122"/>
    </row>
    <row r="61" spans="5:14">
      <c r="E61" s="288"/>
      <c r="N61" s="122"/>
    </row>
    <row r="62" spans="5:14">
      <c r="E62" s="288"/>
      <c r="N62" s="122"/>
    </row>
    <row r="63" spans="5:14">
      <c r="E63" s="288"/>
      <c r="N63" s="122"/>
    </row>
    <row r="64" spans="5:14">
      <c r="E64" s="288"/>
      <c r="N64" s="122"/>
    </row>
    <row r="65" spans="5:14">
      <c r="E65" s="288"/>
      <c r="N65" s="122"/>
    </row>
    <row r="66" spans="5:14">
      <c r="E66" s="288"/>
      <c r="N66" s="122"/>
    </row>
    <row r="67" spans="5:14">
      <c r="E67" s="288"/>
      <c r="N67" s="122"/>
    </row>
    <row r="68" spans="5:14">
      <c r="E68" s="258"/>
      <c r="N68" s="122"/>
    </row>
    <row r="69" spans="5:14">
      <c r="E69" s="258"/>
      <c r="N69" s="122"/>
    </row>
    <row r="70" spans="5:14">
      <c r="E70" s="258"/>
      <c r="N70" s="122"/>
    </row>
    <row r="71" spans="5:14">
      <c r="E71" s="258"/>
      <c r="N71" s="122"/>
    </row>
    <row r="72" spans="5:14">
      <c r="E72" s="258"/>
      <c r="N72" s="122"/>
    </row>
    <row r="73" spans="5:14">
      <c r="E73" s="258"/>
      <c r="N73" s="122"/>
    </row>
    <row r="74" spans="5:14">
      <c r="E74" s="258"/>
      <c r="N74" s="122"/>
    </row>
    <row r="75" spans="5:14">
      <c r="E75" s="258"/>
      <c r="N75" s="122"/>
    </row>
    <row r="76" spans="5:14">
      <c r="E76" s="258"/>
      <c r="N76" s="122"/>
    </row>
    <row r="77" spans="5:14">
      <c r="E77" s="258"/>
      <c r="N77" s="122"/>
    </row>
    <row r="78" spans="5:14">
      <c r="E78" s="258"/>
      <c r="N78" s="122"/>
    </row>
    <row r="79" spans="5:14">
      <c r="E79" s="258"/>
      <c r="N79" s="122"/>
    </row>
    <row r="80" spans="5:14">
      <c r="E80" s="258"/>
      <c r="N80" s="122"/>
    </row>
    <row r="81" spans="5:14">
      <c r="E81" s="258"/>
      <c r="N81" s="122"/>
    </row>
    <row r="82" spans="5:14">
      <c r="E82" s="258"/>
      <c r="N82" s="122"/>
    </row>
    <row r="83" spans="5:14">
      <c r="E83" s="258"/>
      <c r="N83" s="122"/>
    </row>
    <row r="84" spans="5:14">
      <c r="E84" s="258"/>
      <c r="N84" s="122"/>
    </row>
    <row r="85" spans="5:14">
      <c r="E85" s="258"/>
      <c r="N85" s="122"/>
    </row>
    <row r="86" spans="5:14">
      <c r="E86" s="258"/>
      <c r="N86" s="122"/>
    </row>
    <row r="87" spans="5:14">
      <c r="E87" s="258"/>
      <c r="N87" s="122"/>
    </row>
    <row r="88" spans="5:14">
      <c r="E88" s="258"/>
      <c r="N88" s="122"/>
    </row>
    <row r="89" spans="5:14">
      <c r="E89" s="258"/>
      <c r="N89" s="122"/>
    </row>
    <row r="90" spans="5:14">
      <c r="E90" s="258"/>
      <c r="N90" s="122"/>
    </row>
    <row r="91" spans="5:14">
      <c r="E91" s="258"/>
      <c r="N91" s="122"/>
    </row>
    <row r="92" spans="5:14">
      <c r="E92" s="258"/>
      <c r="N92" s="122"/>
    </row>
    <row r="93" spans="5:14">
      <c r="E93" s="258"/>
      <c r="N93" s="122"/>
    </row>
    <row r="94" spans="5:14">
      <c r="E94" s="258"/>
      <c r="N94" s="122"/>
    </row>
    <row r="95" spans="5:14">
      <c r="E95" s="258"/>
      <c r="N95" s="122"/>
    </row>
    <row r="96" spans="5:14">
      <c r="E96" s="258"/>
      <c r="N96" s="122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sheetProtection selectLockedCells="1"/>
  <mergeCells count="7">
    <mergeCell ref="AB5:AB7"/>
    <mergeCell ref="Z5:Z7"/>
    <mergeCell ref="X5:X7"/>
    <mergeCell ref="A5:A7"/>
    <mergeCell ref="B5:B7"/>
    <mergeCell ref="C5:C7"/>
    <mergeCell ref="D5:D7"/>
  </mergeCells>
  <phoneticPr fontId="27" type="noConversion"/>
  <conditionalFormatting sqref="AC8:AC37 AV8:AV37 AP8:AP37 AR8:AR37 AE8:AE37 AJ8:AJ37">
    <cfRule type="expression" dxfId="10" priority="26" stopIfTrue="1">
      <formula>COUNTIF($E$8:$E$37,AC8)=2</formula>
    </cfRule>
  </conditionalFormatting>
  <conditionalFormatting sqref="BB8:BB37">
    <cfRule type="expression" dxfId="9" priority="39" stopIfTrue="1">
      <formula>COUNTIF($BB$8:$BB$37,BB8)&gt;1</formula>
    </cfRule>
  </conditionalFormatting>
  <conditionalFormatting sqref="AL8:AL37">
    <cfRule type="expression" dxfId="8" priority="1" stopIfTrue="1">
      <formula>COUNTIF($E$8:$E$37,AL8)=2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83" orientation="landscape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X79"/>
  <sheetViews>
    <sheetView zoomScale="70" zoomScaleNormal="100" workbookViewId="0">
      <selection activeCell="B9" sqref="B9"/>
    </sheetView>
  </sheetViews>
  <sheetFormatPr defaultColWidth="0" defaultRowHeight="15" customHeight="1" zeroHeight="1"/>
  <cols>
    <col min="1" max="1" width="6.21875" style="33" customWidth="1"/>
    <col min="2" max="2" width="38.77734375" style="33" customWidth="1"/>
    <col min="3" max="3" width="22.77734375" style="33" customWidth="1"/>
    <col min="4" max="4" width="20.77734375" style="33" customWidth="1"/>
    <col min="5" max="5" width="8.77734375" style="33" customWidth="1"/>
    <col min="6" max="6" width="7.77734375" style="33" customWidth="1"/>
    <col min="7" max="7" width="7" style="33" customWidth="1"/>
    <col min="8" max="8" width="1.77734375" style="33" customWidth="1"/>
    <col min="9" max="232" width="8.88671875" style="34" hidden="1" customWidth="1"/>
    <col min="233" max="16384" width="0" style="34" hidden="1"/>
  </cols>
  <sheetData>
    <row r="1" spans="1:8" ht="30">
      <c r="A1" s="30" t="s">
        <v>16</v>
      </c>
      <c r="B1" s="31"/>
      <c r="C1" s="31"/>
      <c r="D1" s="31"/>
      <c r="E1" s="31"/>
      <c r="F1" s="31"/>
      <c r="G1" s="32"/>
    </row>
    <row r="2" spans="1:8" ht="30">
      <c r="A2" s="30" t="s">
        <v>81</v>
      </c>
      <c r="B2" s="31"/>
      <c r="C2" s="31"/>
      <c r="D2" s="31"/>
      <c r="E2" s="31"/>
      <c r="F2" s="31"/>
      <c r="G2" s="32"/>
    </row>
    <row r="3" spans="1:8" s="38" customFormat="1" ht="18">
      <c r="A3" s="35" t="s">
        <v>76</v>
      </c>
      <c r="B3" s="35"/>
      <c r="C3" s="35"/>
      <c r="D3" s="35"/>
      <c r="E3" s="35"/>
      <c r="F3" s="35"/>
      <c r="G3" s="36"/>
      <c r="H3" s="37"/>
    </row>
    <row r="4" spans="1:8" s="38" customFormat="1" ht="18">
      <c r="A4" s="35" t="s">
        <v>77</v>
      </c>
      <c r="B4" s="36"/>
      <c r="C4" s="36"/>
      <c r="D4" s="36"/>
      <c r="E4" s="36"/>
      <c r="F4" s="36"/>
      <c r="G4" s="36"/>
      <c r="H4" s="37"/>
    </row>
    <row r="5" spans="1:8" s="40" customFormat="1">
      <c r="A5" s="39"/>
      <c r="B5" s="39"/>
      <c r="C5" s="39"/>
      <c r="D5" s="39"/>
      <c r="E5" s="39"/>
      <c r="F5" s="39"/>
      <c r="G5" s="39"/>
      <c r="H5" s="39"/>
    </row>
    <row r="6" spans="1:8" s="40" customFormat="1">
      <c r="A6" s="41" t="s">
        <v>146</v>
      </c>
      <c r="B6" s="39"/>
      <c r="C6" s="39"/>
      <c r="D6" s="39"/>
      <c r="E6" s="39"/>
      <c r="F6" s="39"/>
      <c r="G6" s="42" t="s">
        <v>145</v>
      </c>
      <c r="H6" s="39"/>
    </row>
    <row r="7" spans="1:8" s="40" customFormat="1" ht="15.75" thickBot="1">
      <c r="A7" s="39"/>
      <c r="B7" s="39"/>
      <c r="C7" s="39"/>
      <c r="D7" s="39"/>
      <c r="E7" s="39"/>
      <c r="F7" s="39"/>
      <c r="G7" s="39"/>
      <c r="H7" s="39"/>
    </row>
    <row r="8" spans="1:8" s="40" customFormat="1" ht="35.1" customHeight="1" thickBot="1">
      <c r="A8" s="43" t="s">
        <v>18</v>
      </c>
      <c r="B8" s="44" t="s">
        <v>1</v>
      </c>
      <c r="C8" s="44" t="s">
        <v>2</v>
      </c>
      <c r="D8" s="45" t="s">
        <v>3</v>
      </c>
      <c r="E8" s="45" t="s">
        <v>5</v>
      </c>
      <c r="F8" s="45" t="s">
        <v>19</v>
      </c>
      <c r="G8" s="46" t="s">
        <v>17</v>
      </c>
      <c r="H8" s="39"/>
    </row>
    <row r="9" spans="1:8" s="194" customFormat="1" ht="18">
      <c r="A9" s="189">
        <v>1</v>
      </c>
      <c r="B9" s="237" t="str">
        <f>IF(ISERROR(IF(VLOOKUP($G9,'STARTOVNÍ LISTINA'!$A$8:$E$37,2,0)=0,"",VLOOKUP($G9,'STARTOVNÍ LISTINA'!$A$8:$E$37,2,0)))=TRUE,"",IF(VLOOKUP($G9,'STARTOVNÍ LISTINA'!$A$8:$E$37,2,0)=0,"",VLOOKUP($G9,'STARTOVNÍ LISTINA'!$A$8:$E$37,2,0)))</f>
        <v>ŠEJSTAL Radek, prap.</v>
      </c>
      <c r="C9" s="231" t="str">
        <f>IF(ISERROR(IF(VLOOKUP($G9,'STARTOVNÍ LISTINA'!$A$8:$E$37,3,0)=0,"",VLOOKUP($G9,'STARTOVNÍ LISTINA'!$A$8:$E$37,3,0)))=TRUE,"",IF(VLOOKUP($G9,'STARTOVNÍ LISTINA'!$A$8:$E$37,3,0)=0,"",VLOOKUP($G9,'STARTOVNÍ LISTINA'!$A$8:$E$37,3,0)))</f>
        <v>LISTR</v>
      </c>
      <c r="D9" s="232" t="str">
        <f>IF(ISERROR(IF(VLOOKUP($G9,'STARTOVNÍ LISTINA'!$A$8:$E$37,4,0)=0,"",VLOOKUP($G9,'STARTOVNÍ LISTINA'!$A$8:$E$37,4,0)))=TRUE,"",IF(VLOOKUP($G9,'STARTOVNÍ LISTINA'!$A$8:$E$37,4,0)=0,"",VLOOKUP($G9,'STARTOVNÍ LISTINA'!$A$8:$E$37,4,0)))</f>
        <v>KŘP Jihomoravského kraje</v>
      </c>
      <c r="E9" s="233">
        <f>IF(ISERROR(IF(VLOOKUP($G9,PRAC!$A$8:$L$37,5,0)=0,"",VLOOKUP($G9,PRAC!$A$8:$L$37,5,0)))=TRUE,"",IF(VLOOKUP($G9,PRAC!$A$8:$L$37,5,0)=0,"",VLOOKUP($G9,PRAC!$A$8:$L$37,5,0)))</f>
        <v>2.2045138888888891E-3</v>
      </c>
      <c r="F9" s="234">
        <f>IF(ISERROR(IF(VLOOKUP($G9,PRAC!$A$8:$L$37,12,0)=0,0,VLOOKUP($G9,PRAC!$A$8:$L$37,12,0)))=TRUE,"",IF(VLOOKUP($G9,PRAC!$A$8:$L$37,12,0)=0,0,VLOOKUP($G9,PRAC!$A$8:$L$37,12,0)))</f>
        <v>0</v>
      </c>
      <c r="G9" s="235">
        <v>2</v>
      </c>
      <c r="H9" s="193"/>
    </row>
    <row r="10" spans="1:8" s="194" customFormat="1" ht="18">
      <c r="A10" s="189">
        <v>2</v>
      </c>
      <c r="B10" s="237" t="str">
        <f>IF(ISERROR(IF(VLOOKUP($G10,'STARTOVNÍ LISTINA'!$A$8:$E$37,2,0)=0,"",VLOOKUP($G10,'STARTOVNÍ LISTINA'!$A$8:$E$37,2,0)))=TRUE,"",IF(VLOOKUP($G10,'STARTOVNÍ LISTINA'!$A$8:$E$37,2,0)=0,"",VLOOKUP($G10,'STARTOVNÍ LISTINA'!$A$8:$E$37,2,0)))</f>
        <v>HORNÍK Martin, str. Ing.</v>
      </c>
      <c r="C10" s="231" t="str">
        <f>IF(ISERROR(IF(VLOOKUP($G10,'STARTOVNÍ LISTINA'!$A$8:$E$37,3,0)=0,"",VLOOKUP($G10,'STARTOVNÍ LISTINA'!$A$8:$E$37,3,0)))=TRUE,"",IF(VLOOKUP($G10,'STARTOVNÍ LISTINA'!$A$8:$E$37,3,0)=0,"",VLOOKUP($G10,'STARTOVNÍ LISTINA'!$A$8:$E$37,3,0)))</f>
        <v>SACRAMOSO XANTA ALBA</v>
      </c>
      <c r="D10" s="232" t="str">
        <f>IF(ISERROR(IF(VLOOKUP($G10,'STARTOVNÍ LISTINA'!$A$8:$E$37,4,0)=0,"",VLOOKUP($G10,'STARTOVNÍ LISTINA'!$A$8:$E$37,4,0)))=TRUE,"",IF(VLOOKUP($G10,'STARTOVNÍ LISTINA'!$A$8:$E$37,4,0)=0,"",VLOOKUP($G10,'STARTOVNÍ LISTINA'!$A$8:$E$37,4,0)))</f>
        <v>MP Praha</v>
      </c>
      <c r="E10" s="233">
        <f>IF(ISERROR(IF(VLOOKUP($G10,PRAC!$A$8:$L$37,5,0)=0,"",VLOOKUP($G10,PRAC!$A$8:$L$37,5,0)))=TRUE,"",IF(VLOOKUP($G10,PRAC!$A$8:$L$37,5,0)=0,"",VLOOKUP($G10,PRAC!$A$8:$L$37,5,0)))</f>
        <v>2.1954861111111112E-3</v>
      </c>
      <c r="F10" s="234">
        <f>IF(ISERROR(IF(VLOOKUP($G10,PRAC!$A$8:$L$37,12,0)=0,0,VLOOKUP($G10,PRAC!$A$8:$L$37,12,0)))=TRUE,"",IF(VLOOKUP($G10,PRAC!$A$8:$L$37,12,0)=0,0,VLOOKUP($G10,PRAC!$A$8:$L$37,12,0)))</f>
        <v>0</v>
      </c>
      <c r="G10" s="236">
        <v>20</v>
      </c>
      <c r="H10" s="193"/>
    </row>
    <row r="11" spans="1:8" s="194" customFormat="1" ht="18">
      <c r="A11" s="189">
        <v>3</v>
      </c>
      <c r="B11" s="237" t="str">
        <f>IF(ISERROR(IF(VLOOKUP($G11,'STARTOVNÍ LISTINA'!$A$8:$E$37,2,0)=0,"",VLOOKUP($G11,'STARTOVNÍ LISTINA'!$A$8:$E$37,2,0)))=TRUE,"",IF(VLOOKUP($G11,'STARTOVNÍ LISTINA'!$A$8:$E$37,2,0)=0,"",VLOOKUP($G11,'STARTOVNÍ LISTINA'!$A$8:$E$37,2,0)))</f>
        <v>SLEZÁK Michal, nstržm. Ing.</v>
      </c>
      <c r="C11" s="231" t="str">
        <f>IF(ISERROR(IF(VLOOKUP($G11,'STARTOVNÍ LISTINA'!$A$8:$E$37,3,0)=0,"",VLOOKUP($G11,'STARTOVNÍ LISTINA'!$A$8:$E$37,3,0)))=TRUE,"",IF(VLOOKUP($G11,'STARTOVNÍ LISTINA'!$A$8:$E$37,3,0)=0,"",VLOOKUP($G11,'STARTOVNÍ LISTINA'!$A$8:$E$37,3,0)))</f>
        <v>ENRICO</v>
      </c>
      <c r="D11" s="232" t="str">
        <f>IF(ISERROR(IF(VLOOKUP($G11,'STARTOVNÍ LISTINA'!$A$8:$E$37,4,0)=0,"",VLOOKUP($G11,'STARTOVNÍ LISTINA'!$A$8:$E$37,4,0)))=TRUE,"",IF(VLOOKUP($G11,'STARTOVNÍ LISTINA'!$A$8:$E$37,4,0)=0,"",VLOOKUP($G11,'STARTOVNÍ LISTINA'!$A$8:$E$37,4,0)))</f>
        <v>KŘP Jihomoravského kraje</v>
      </c>
      <c r="E11" s="233">
        <f>IF(ISERROR(IF(VLOOKUP($G11,PRAC!$A$8:$L$37,5,0)=0,"",VLOOKUP($G11,PRAC!$A$8:$L$37,5,0)))=TRUE,"",IF(VLOOKUP($G11,PRAC!$A$8:$L$37,5,0)=0,"",VLOOKUP($G11,PRAC!$A$8:$L$37,5,0)))</f>
        <v>2.3578703703703704E-3</v>
      </c>
      <c r="F11" s="234">
        <f>IF(ISERROR(IF(VLOOKUP($G11,PRAC!$A$8:$L$37,12,0)=0,0,VLOOKUP($G11,PRAC!$A$8:$L$37,12,0)))=TRUE,"",IF(VLOOKUP($G11,PRAC!$A$8:$L$37,12,0)=0,0,VLOOKUP($G11,PRAC!$A$8:$L$37,12,0)))</f>
        <v>5</v>
      </c>
      <c r="G11" s="236">
        <v>1</v>
      </c>
      <c r="H11" s="193"/>
    </row>
    <row r="12" spans="1:8" s="194" customFormat="1" ht="18">
      <c r="A12" s="242">
        <v>4</v>
      </c>
      <c r="B12" s="243" t="str">
        <f>IF(ISERROR(IF(VLOOKUP($G12,'STARTOVNÍ LISTINA'!$A$8:$E$37,2,0)=0,"",VLOOKUP($G12,'STARTOVNÍ LISTINA'!$A$8:$E$37,2,0)))=TRUE,"",IF(VLOOKUP($G12,'STARTOVNÍ LISTINA'!$A$8:$E$37,2,0)=0,"",VLOOKUP($G12,'STARTOVNÍ LISTINA'!$A$8:$E$37,2,0)))</f>
        <v>JOHN Přemysl, nstržm.</v>
      </c>
      <c r="C12" s="244" t="str">
        <f>IF(ISERROR(IF(VLOOKUP($G12,'STARTOVNÍ LISTINA'!$A$8:$E$37,3,0)=0,"",VLOOKUP($G12,'STARTOVNÍ LISTINA'!$A$8:$E$37,3,0)))=TRUE,"",IF(VLOOKUP($G12,'STARTOVNÍ LISTINA'!$A$8:$E$37,3,0)=0,"",VLOOKUP($G12,'STARTOVNÍ LISTINA'!$A$8:$E$37,3,0)))</f>
        <v>DERWISZ</v>
      </c>
      <c r="D12" s="245" t="str">
        <f>IF(ISERROR(IF(VLOOKUP($G12,'STARTOVNÍ LISTINA'!$A$8:$E$37,4,0)=0,"",VLOOKUP($G12,'STARTOVNÍ LISTINA'!$A$8:$E$37,4,0)))=TRUE,"",IF(VLOOKUP($G12,'STARTOVNÍ LISTINA'!$A$8:$E$37,4,0)=0,"",VLOOKUP($G12,'STARTOVNÍ LISTINA'!$A$8:$E$37,4,0)))</f>
        <v>KŘP Jihomoravského kraje</v>
      </c>
      <c r="E12" s="246">
        <f>IF(ISERROR(IF(VLOOKUP($G12,PRAC!$A$8:$L$37,5,0)=0,"",VLOOKUP($G12,PRAC!$A$8:$L$37,5,0)))=TRUE,"",IF(VLOOKUP($G12,PRAC!$A$8:$L$37,5,0)=0,"",VLOOKUP($G12,PRAC!$A$8:$L$37,5,0)))</f>
        <v>2.3491898148148148E-3</v>
      </c>
      <c r="F12" s="247">
        <f>IF(ISERROR(IF(VLOOKUP($G12,PRAC!$A$8:$L$37,12,0)=0,0,VLOOKUP($G12,PRAC!$A$8:$L$37,12,0)))=TRUE,"",IF(VLOOKUP($G12,PRAC!$A$8:$L$37,12,0)=0,0,VLOOKUP($G12,PRAC!$A$8:$L$37,12,0)))</f>
        <v>5</v>
      </c>
      <c r="G12" s="248">
        <v>21</v>
      </c>
      <c r="H12" s="193"/>
    </row>
    <row r="13" spans="1:8" s="194" customFormat="1" ht="18">
      <c r="A13" s="242">
        <v>5</v>
      </c>
      <c r="B13" s="243" t="str">
        <f>IF(ISERROR(IF(VLOOKUP($G13,'STARTOVNÍ LISTINA'!$A$8:$E$37,2,0)=0,"",VLOOKUP($G13,'STARTOVNÍ LISTINA'!$A$8:$E$37,2,0)))=TRUE,"",IF(VLOOKUP($G13,'STARTOVNÍ LISTINA'!$A$8:$E$37,2,0)=0,"",VLOOKUP($G13,'STARTOVNÍ LISTINA'!$A$8:$E$37,2,0)))</f>
        <v>OSTŘANSKÁ Renata, nstržm.</v>
      </c>
      <c r="C13" s="244" t="str">
        <f>IF(ISERROR(IF(VLOOKUP($G13,'STARTOVNÍ LISTINA'!$A$8:$E$37,3,0)=0,"",VLOOKUP($G13,'STARTOVNÍ LISTINA'!$A$8:$E$37,3,0)))=TRUE,"",IF(VLOOKUP($G13,'STARTOVNÍ LISTINA'!$A$8:$E$37,3,0)=0,"",VLOOKUP($G13,'STARTOVNÍ LISTINA'!$A$8:$E$37,3,0)))</f>
        <v>VIZIR</v>
      </c>
      <c r="D13" s="245" t="str">
        <f>IF(ISERROR(IF(VLOOKUP($G13,'STARTOVNÍ LISTINA'!$A$8:$E$37,4,0)=0,"",VLOOKUP($G13,'STARTOVNÍ LISTINA'!$A$8:$E$37,4,0)))=TRUE,"",IF(VLOOKUP($G13,'STARTOVNÍ LISTINA'!$A$8:$E$37,4,0)=0,"",VLOOKUP($G13,'STARTOVNÍ LISTINA'!$A$8:$E$37,4,0)))</f>
        <v>KŘP Jihomoravského kraje</v>
      </c>
      <c r="E13" s="246">
        <f>IF(ISERROR(IF(VLOOKUP($G13,PRAC!$A$8:$L$37,5,0)=0,"",VLOOKUP($G13,PRAC!$A$8:$L$37,5,0)))=TRUE,"",IF(VLOOKUP($G13,PRAC!$A$8:$L$37,5,0)=0,"",VLOOKUP($G13,PRAC!$A$8:$L$37,5,0)))</f>
        <v>2.3365740740740738E-3</v>
      </c>
      <c r="F13" s="247">
        <f>IF(ISERROR(IF(VLOOKUP($G13,PRAC!$A$8:$L$37,12,0)=0,0,VLOOKUP($G13,PRAC!$A$8:$L$37,12,0)))=TRUE,"",IF(VLOOKUP($G13,PRAC!$A$8:$L$37,12,0)=0,0,VLOOKUP($G13,PRAC!$A$8:$L$37,12,0)))</f>
        <v>5</v>
      </c>
      <c r="G13" s="248">
        <v>14</v>
      </c>
      <c r="H13" s="193"/>
    </row>
    <row r="14" spans="1:8" s="40" customFormat="1" ht="18">
      <c r="A14" s="48">
        <v>6</v>
      </c>
      <c r="B14" s="217" t="str">
        <f>IF(ISERROR(IF(VLOOKUP($G14,'STARTOVNÍ LISTINA'!$A$8:$E$37,2,0)=0,"",VLOOKUP($G14,'STARTOVNÍ LISTINA'!$A$8:$E$37,2,0)))=TRUE,"",IF(VLOOKUP($G14,'STARTOVNÍ LISTINA'!$A$8:$E$37,2,0)=0,"",VLOOKUP($G14,'STARTOVNÍ LISTINA'!$A$8:$E$37,2,0)))</f>
        <v>BONK Christin</v>
      </c>
      <c r="C14" s="52" t="str">
        <f>IF(ISERROR(IF(VLOOKUP($G14,'STARTOVNÍ LISTINA'!$A$8:$E$37,3,0)=0,"",VLOOKUP($G14,'STARTOVNÍ LISTINA'!$A$8:$E$37,3,0)))=TRUE,"",IF(VLOOKUP($G14,'STARTOVNÍ LISTINA'!$A$8:$E$37,3,0)=0,"",VLOOKUP($G14,'STARTOVNÍ LISTINA'!$A$8:$E$37,3,0)))</f>
        <v>KRISTAL</v>
      </c>
      <c r="D14" s="51" t="str">
        <f>IF(ISERROR(IF(VLOOKUP($G14,'STARTOVNÍ LISTINA'!$A$8:$E$37,4,0)=0,"",VLOOKUP($G14,'STARTOVNÍ LISTINA'!$A$8:$E$37,4,0)))=TRUE,"",IF(VLOOKUP($G14,'STARTOVNÍ LISTINA'!$A$8:$E$37,4,0)=0,"",VLOOKUP($G14,'STARTOVNÍ LISTINA'!$A$8:$E$37,4,0)))</f>
        <v>NĚMECKO, Sasko</v>
      </c>
      <c r="E14" s="67">
        <f>IF(ISERROR(IF(VLOOKUP($G14,PRAC!$A$8:$L$37,5,0)=0,"",VLOOKUP($G14,PRAC!$A$8:$L$37,5,0)))=TRUE,"",IF(VLOOKUP($G14,PRAC!$A$8:$L$37,5,0)=0,"",VLOOKUP($G14,PRAC!$A$8:$L$37,5,0)))</f>
        <v>2.3078703703703703E-3</v>
      </c>
      <c r="F14" s="69">
        <f>IF(ISERROR(IF(VLOOKUP($G14,PRAC!$A$8:$L$37,12,0)=0,0,VLOOKUP($G14,PRAC!$A$8:$L$37,12,0)))=TRUE,"",IF(VLOOKUP($G14,PRAC!$A$8:$L$37,12,0)=0,0,VLOOKUP($G14,PRAC!$A$8:$L$37,12,0)))</f>
        <v>5</v>
      </c>
      <c r="G14" s="65">
        <v>13</v>
      </c>
      <c r="H14" s="39"/>
    </row>
    <row r="15" spans="1:8" s="40" customFormat="1" ht="18">
      <c r="A15" s="48">
        <v>7</v>
      </c>
      <c r="B15" s="217" t="str">
        <f>IF(ISERROR(IF(VLOOKUP($G15,'STARTOVNÍ LISTINA'!$A$8:$E$37,2,0)=0,"",VLOOKUP($G15,'STARTOVNÍ LISTINA'!$A$8:$E$37,2,0)))=TRUE,"",IF(VLOOKUP($G15,'STARTOVNÍ LISTINA'!$A$8:$E$37,2,0)=0,"",VLOOKUP($G15,'STARTOVNÍ LISTINA'!$A$8:$E$37,2,0)))</f>
        <v>NOVÁK Tomáš, str.</v>
      </c>
      <c r="C15" s="52" t="str">
        <f>IF(ISERROR(IF(VLOOKUP($G15,'STARTOVNÍ LISTINA'!$A$8:$E$37,3,0)=0,"",VLOOKUP($G15,'STARTOVNÍ LISTINA'!$A$8:$E$37,3,0)))=TRUE,"",IF(VLOOKUP($G15,'STARTOVNÍ LISTINA'!$A$8:$E$37,3,0)=0,"",VLOOKUP($G15,'STARTOVNÍ LISTINA'!$A$8:$E$37,3,0)))</f>
        <v>SOLO PANDORA</v>
      </c>
      <c r="D15" s="51" t="str">
        <f>IF(ISERROR(IF(VLOOKUP($G15,'STARTOVNÍ LISTINA'!$A$8:$E$37,4,0)=0,"",VLOOKUP($G15,'STARTOVNÍ LISTINA'!$A$8:$E$37,4,0)))=TRUE,"",IF(VLOOKUP($G15,'STARTOVNÍ LISTINA'!$A$8:$E$37,4,0)=0,"",VLOOKUP($G15,'STARTOVNÍ LISTINA'!$A$8:$E$37,4,0)))</f>
        <v>MP Ostrava</v>
      </c>
      <c r="E15" s="67">
        <f>IF(ISERROR(IF(VLOOKUP($G15,PRAC!$A$8:$L$37,5,0)=0,"",VLOOKUP($G15,PRAC!$A$8:$L$37,5,0)))=TRUE,"",IF(VLOOKUP($G15,PRAC!$A$8:$L$37,5,0)=0,"",VLOOKUP($G15,PRAC!$A$8:$L$37,5,0)))</f>
        <v>2.2587962962962965E-3</v>
      </c>
      <c r="F15" s="69">
        <f>IF(ISERROR(IF(VLOOKUP($G15,PRAC!$A$8:$L$37,12,0)=0,0,VLOOKUP($G15,PRAC!$A$8:$L$37,12,0)))=TRUE,"",IF(VLOOKUP($G15,PRAC!$A$8:$L$37,12,0)=0,0,VLOOKUP($G15,PRAC!$A$8:$L$37,12,0)))</f>
        <v>5</v>
      </c>
      <c r="G15" s="65">
        <v>7</v>
      </c>
      <c r="H15" s="39"/>
    </row>
    <row r="16" spans="1:8" s="40" customFormat="1" ht="18">
      <c r="A16" s="48">
        <v>8</v>
      </c>
      <c r="B16" s="217" t="str">
        <f>IF(ISERROR(IF(VLOOKUP($G16,'STARTOVNÍ LISTINA'!$A$8:$E$37,2,0)=0,"",VLOOKUP($G16,'STARTOVNÍ LISTINA'!$A$8:$E$37,2,0)))=TRUE,"",IF(VLOOKUP($G16,'STARTOVNÍ LISTINA'!$A$8:$E$37,2,0)=0,"",VLOOKUP($G16,'STARTOVNÍ LISTINA'!$A$8:$E$37,2,0)))</f>
        <v>ZEDNÍČEK Libor, str.</v>
      </c>
      <c r="C16" s="52" t="str">
        <f>IF(ISERROR(IF(VLOOKUP($G16,'STARTOVNÍ LISTINA'!$A$8:$E$37,3,0)=0,"",VLOOKUP($G16,'STARTOVNÍ LISTINA'!$A$8:$E$37,3,0)))=TRUE,"",IF(VLOOKUP($G16,'STARTOVNÍ LISTINA'!$A$8:$E$37,3,0)=0,"",VLOOKUP($G16,'STARTOVNÍ LISTINA'!$A$8:$E$37,3,0)))</f>
        <v>SOLO MACARENA</v>
      </c>
      <c r="D16" s="51" t="str">
        <f>IF(ISERROR(IF(VLOOKUP($G16,'STARTOVNÍ LISTINA'!$A$8:$E$37,4,0)=0,"",VLOOKUP($G16,'STARTOVNÍ LISTINA'!$A$8:$E$37,4,0)))=TRUE,"",IF(VLOOKUP($G16,'STARTOVNÍ LISTINA'!$A$8:$E$37,4,0)=0,"",VLOOKUP($G16,'STARTOVNÍ LISTINA'!$A$8:$E$37,4,0)))</f>
        <v>MP Ostrava</v>
      </c>
      <c r="E16" s="67">
        <f>IF(ISERROR(IF(VLOOKUP($G16,PRAC!$A$8:$L$37,5,0)=0,"",VLOOKUP($G16,PRAC!$A$8:$L$37,5,0)))=TRUE,"",IF(VLOOKUP($G16,PRAC!$A$8:$L$37,5,0)=0,"",VLOOKUP($G16,PRAC!$A$8:$L$37,5,0)))</f>
        <v>2.398726851851852E-3</v>
      </c>
      <c r="F16" s="69">
        <f>IF(ISERROR(IF(VLOOKUP($G16,PRAC!$A$8:$L$37,12,0)=0,0,VLOOKUP($G16,PRAC!$A$8:$L$37,12,0)))=TRUE,"",IF(VLOOKUP($G16,PRAC!$A$8:$L$37,12,0)=0,0,VLOOKUP($G16,PRAC!$A$8:$L$37,12,0)))</f>
        <v>8</v>
      </c>
      <c r="G16" s="65">
        <v>18</v>
      </c>
      <c r="H16" s="39"/>
    </row>
    <row r="17" spans="1:8" s="40" customFormat="1" ht="18">
      <c r="A17" s="48">
        <v>9</v>
      </c>
      <c r="B17" s="217" t="str">
        <f>IF(ISERROR(IF(VLOOKUP($G17,'STARTOVNÍ LISTINA'!$A$8:$E$37,2,0)=0,"",VLOOKUP($G17,'STARTOVNÍ LISTINA'!$A$8:$E$37,2,0)))=TRUE,"",IF(VLOOKUP($G17,'STARTOVNÍ LISTINA'!$A$8:$E$37,2,0)=0,"",VLOOKUP($G17,'STARTOVNÍ LISTINA'!$A$8:$E$37,2,0)))</f>
        <v>VYSLOUŽILOVÁ Martina, pprap.</v>
      </c>
      <c r="C17" s="52" t="str">
        <f>IF(ISERROR(IF(VLOOKUP($G17,'STARTOVNÍ LISTINA'!$A$8:$E$37,3,0)=0,"",VLOOKUP($G17,'STARTOVNÍ LISTINA'!$A$8:$E$37,3,0)))=TRUE,"",IF(VLOOKUP($G17,'STARTOVNÍ LISTINA'!$A$8:$E$37,3,0)=0,"",VLOOKUP($G17,'STARTOVNÍ LISTINA'!$A$8:$E$37,3,0)))</f>
        <v>PRESTIGE</v>
      </c>
      <c r="D17" s="51" t="str">
        <f>IF(ISERROR(IF(VLOOKUP($G17,'STARTOVNÍ LISTINA'!$A$8:$E$37,4,0)=0,"",VLOOKUP($G17,'STARTOVNÍ LISTINA'!$A$8:$E$37,4,0)))=TRUE,"",IF(VLOOKUP($G17,'STARTOVNÍ LISTINA'!$A$8:$E$37,4,0)=0,"",VLOOKUP($G17,'STARTOVNÍ LISTINA'!$A$8:$E$37,4,0)))</f>
        <v>KŘP Jihomoravského kraje</v>
      </c>
      <c r="E17" s="67">
        <f>IF(ISERROR(IF(VLOOKUP($G17,PRAC!$A$8:$L$37,5,0)=0,"",VLOOKUP($G17,PRAC!$A$8:$L$37,5,0)))=TRUE,"",IF(VLOOKUP($G17,PRAC!$A$8:$L$37,5,0)=0,"",VLOOKUP($G17,PRAC!$A$8:$L$37,5,0)))</f>
        <v>2.2197916666666664E-3</v>
      </c>
      <c r="F17" s="69">
        <f>IF(ISERROR(IF(VLOOKUP($G17,PRAC!$A$8:$L$37,12,0)=0,0,VLOOKUP($G17,PRAC!$A$8:$L$37,12,0)))=TRUE,"",IF(VLOOKUP($G17,PRAC!$A$8:$L$37,12,0)=0,0,VLOOKUP($G17,PRAC!$A$8:$L$37,12,0)))</f>
        <v>10</v>
      </c>
      <c r="G17" s="65">
        <v>11</v>
      </c>
      <c r="H17" s="39"/>
    </row>
    <row r="18" spans="1:8" s="40" customFormat="1" ht="18">
      <c r="A18" s="48">
        <v>10</v>
      </c>
      <c r="B18" s="217" t="str">
        <f>IF(ISERROR(IF(VLOOKUP($G18,'STARTOVNÍ LISTINA'!$A$8:$E$37,2,0)=0,"",VLOOKUP($G18,'STARTOVNÍ LISTINA'!$A$8:$E$37,2,0)))=TRUE,"",IF(VLOOKUP($G18,'STARTOVNÍ LISTINA'!$A$8:$E$37,2,0)=0,"",VLOOKUP($G18,'STARTOVNÍ LISTINA'!$A$8:$E$37,2,0)))</f>
        <v>BŘEČKA Dalibor, pprap.</v>
      </c>
      <c r="C18" s="52" t="str">
        <f>IF(ISERROR(IF(VLOOKUP($G18,'STARTOVNÍ LISTINA'!$A$8:$E$37,3,0)=0,"",VLOOKUP($G18,'STARTOVNÍ LISTINA'!$A$8:$E$37,3,0)))=TRUE,"",IF(VLOOKUP($G18,'STARTOVNÍ LISTINA'!$A$8:$E$37,3,0)=0,"",VLOOKUP($G18,'STARTOVNÍ LISTINA'!$A$8:$E$37,3,0)))</f>
        <v>TAJFUN</v>
      </c>
      <c r="D18" s="51" t="str">
        <f>IF(ISERROR(IF(VLOOKUP($G18,'STARTOVNÍ LISTINA'!$A$8:$E$37,4,0)=0,"",VLOOKUP($G18,'STARTOVNÍ LISTINA'!$A$8:$E$37,4,0)))=TRUE,"",IF(VLOOKUP($G18,'STARTOVNÍ LISTINA'!$A$8:$E$37,4,0)=0,"",VLOOKUP($G18,'STARTOVNÍ LISTINA'!$A$8:$E$37,4,0)))</f>
        <v>KŘP Zlínského kraje</v>
      </c>
      <c r="E18" s="67">
        <f>IF(ISERROR(IF(VLOOKUP($G18,PRAC!$A$8:$L$37,5,0)=0,"",VLOOKUP($G18,PRAC!$A$8:$L$37,5,0)))=TRUE,"",IF(VLOOKUP($G18,PRAC!$A$8:$L$37,5,0)=0,"",VLOOKUP($G18,PRAC!$A$8:$L$37,5,0)))</f>
        <v>2.1590277777777775E-3</v>
      </c>
      <c r="F18" s="68">
        <f>IF(ISERROR(IF(VLOOKUP($G18,PRAC!$A$8:$L$37,12,0)=0,0,VLOOKUP($G18,PRAC!$A$8:$L$37,12,0)))=TRUE,"",IF(VLOOKUP($G18,PRAC!$A$8:$L$37,12,0)=0,0,VLOOKUP($G18,PRAC!$A$8:$L$37,12,0)))</f>
        <v>10</v>
      </c>
      <c r="G18" s="64">
        <v>6</v>
      </c>
      <c r="H18" s="39"/>
    </row>
    <row r="19" spans="1:8" s="40" customFormat="1" ht="18">
      <c r="A19" s="48">
        <v>11</v>
      </c>
      <c r="B19" s="217" t="str">
        <f>IF(ISERROR(IF(VLOOKUP($G19,'STARTOVNÍ LISTINA'!$A$8:$E$37,2,0)=0,"",VLOOKUP($G19,'STARTOVNÍ LISTINA'!$A$8:$E$37,2,0)))=TRUE,"",IF(VLOOKUP($G19,'STARTOVNÍ LISTINA'!$A$8:$E$37,2,0)=0,"",VLOOKUP($G19,'STARTOVNÍ LISTINA'!$A$8:$E$37,2,0)))</f>
        <v>SVOBODA Lukáš, nstržm.</v>
      </c>
      <c r="C19" s="52" t="str">
        <f>IF(ISERROR(IF(VLOOKUP($G19,'STARTOVNÍ LISTINA'!$A$8:$E$37,3,0)=0,"",VLOOKUP($G19,'STARTOVNÍ LISTINA'!$A$8:$E$37,3,0)))=TRUE,"",IF(VLOOKUP($G19,'STARTOVNÍ LISTINA'!$A$8:$E$37,3,0)=0,"",VLOOKUP($G19,'STARTOVNÍ LISTINA'!$A$8:$E$37,3,0)))</f>
        <v>SANTÉ</v>
      </c>
      <c r="D19" s="51" t="str">
        <f>IF(ISERROR(IF(VLOOKUP($G19,'STARTOVNÍ LISTINA'!$A$8:$E$37,4,0)=0,"",VLOOKUP($G19,'STARTOVNÍ LISTINA'!$A$8:$E$37,4,0)))=TRUE,"",IF(VLOOKUP($G19,'STARTOVNÍ LISTINA'!$A$8:$E$37,4,0)=0,"",VLOOKUP($G19,'STARTOVNÍ LISTINA'!$A$8:$E$37,4,0)))</f>
        <v>KŘP hlavního města Prahy</v>
      </c>
      <c r="E19" s="67">
        <f>IF(ISERROR(IF(VLOOKUP($G19,PRAC!$A$8:$L$37,5,0)=0,"",VLOOKUP($G19,PRAC!$A$8:$L$37,5,0)))=TRUE,"",IF(VLOOKUP($G19,PRAC!$A$8:$L$37,5,0)=0,"",VLOOKUP($G19,PRAC!$A$8:$L$37,5,0)))</f>
        <v>2.4562499999999997E-3</v>
      </c>
      <c r="F19" s="69">
        <f>IF(ISERROR(IF(VLOOKUP($G19,PRAC!$A$8:$L$37,12,0)=0,0,VLOOKUP($G19,PRAC!$A$8:$L$37,12,0)))=TRUE,"",IF(VLOOKUP($G19,PRAC!$A$8:$L$37,12,0)=0,0,VLOOKUP($G19,PRAC!$A$8:$L$37,12,0)))</f>
        <v>18</v>
      </c>
      <c r="G19" s="65">
        <v>17</v>
      </c>
      <c r="H19" s="39"/>
    </row>
    <row r="20" spans="1:8" s="40" customFormat="1" ht="18">
      <c r="A20" s="48">
        <v>12</v>
      </c>
      <c r="B20" s="217" t="str">
        <f>IF(ISERROR(IF(VLOOKUP($G20,'STARTOVNÍ LISTINA'!$A$8:$E$37,2,0)=0,"",VLOOKUP($G20,'STARTOVNÍ LISTINA'!$A$8:$E$37,2,0)))=TRUE,"",IF(VLOOKUP($G20,'STARTOVNÍ LISTINA'!$A$8:$E$37,2,0)=0,"",VLOOKUP($G20,'STARTOVNÍ LISTINA'!$A$8:$E$37,2,0)))</f>
        <v>POKORNÁ Hana, pprap.</v>
      </c>
      <c r="C20" s="52" t="str">
        <f>IF(ISERROR(IF(VLOOKUP($G20,'STARTOVNÍ LISTINA'!$A$8:$E$37,3,0)=0,"",VLOOKUP($G20,'STARTOVNÍ LISTINA'!$A$8:$E$37,3,0)))=TRUE,"",IF(VLOOKUP($G20,'STARTOVNÍ LISTINA'!$A$8:$E$37,3,0)=0,"",VLOOKUP($G20,'STARTOVNÍ LISTINA'!$A$8:$E$37,3,0)))</f>
        <v>HUBERT</v>
      </c>
      <c r="D20" s="51" t="str">
        <f>IF(ISERROR(IF(VLOOKUP($G20,'STARTOVNÍ LISTINA'!$A$8:$E$37,4,0)=0,"",VLOOKUP($G20,'STARTOVNÍ LISTINA'!$A$8:$E$37,4,0)))=TRUE,"",IF(VLOOKUP($G20,'STARTOVNÍ LISTINA'!$A$8:$E$37,4,0)=0,"",VLOOKUP($G20,'STARTOVNÍ LISTINA'!$A$8:$E$37,4,0)))</f>
        <v>KŘP Zlínského kraje</v>
      </c>
      <c r="E20" s="67">
        <f>IF(ISERROR(IF(VLOOKUP($G20,PRAC!$A$8:$L$37,5,0)=0,"",VLOOKUP($G20,PRAC!$A$8:$L$37,5,0)))=TRUE,"",IF(VLOOKUP($G20,PRAC!$A$8:$L$37,5,0)=0,"",VLOOKUP($G20,PRAC!$A$8:$L$37,5,0)))</f>
        <v>2.5267361111111111E-3</v>
      </c>
      <c r="F20" s="69">
        <f>IF(ISERROR(IF(VLOOKUP($G20,PRAC!$A$8:$L$37,12,0)=0,0,VLOOKUP($G20,PRAC!$A$8:$L$37,12,0)))=TRUE,"",IF(VLOOKUP($G20,PRAC!$A$8:$L$37,12,0)=0,0,VLOOKUP($G20,PRAC!$A$8:$L$37,12,0)))</f>
        <v>19</v>
      </c>
      <c r="G20" s="65">
        <v>8</v>
      </c>
      <c r="H20" s="39"/>
    </row>
    <row r="21" spans="1:8" s="40" customFormat="1" ht="18">
      <c r="A21" s="48">
        <v>13</v>
      </c>
      <c r="B21" s="217" t="str">
        <f>IF(ISERROR(IF(VLOOKUP($G21,'STARTOVNÍ LISTINA'!$A$8:$E$37,2,0)=0,"",VLOOKUP($G21,'STARTOVNÍ LISTINA'!$A$8:$E$37,2,0)))=TRUE,"",IF(VLOOKUP($G21,'STARTOVNÍ LISTINA'!$A$8:$E$37,2,0)=0,"",VLOOKUP($G21,'STARTOVNÍ LISTINA'!$A$8:$E$37,2,0)))</f>
        <v>ZGOLA Marián, ppráp.</v>
      </c>
      <c r="C21" s="52" t="str">
        <f>IF(ISERROR(IF(VLOOKUP($G21,'STARTOVNÍ LISTINA'!$A$8:$E$37,3,0)=0,"",VLOOKUP($G21,'STARTOVNÍ LISTINA'!$A$8:$E$37,3,0)))=TRUE,"",IF(VLOOKUP($G21,'STARTOVNÍ LISTINA'!$A$8:$E$37,3,0)=0,"",VLOOKUP($G21,'STARTOVNÍ LISTINA'!$A$8:$E$37,3,0)))</f>
        <v>LAPAZ 21</v>
      </c>
      <c r="D21" s="51" t="str">
        <f>IF(ISERROR(IF(VLOOKUP($G21,'STARTOVNÍ LISTINA'!$A$8:$E$37,4,0)=0,"",VLOOKUP($G21,'STARTOVNÍ LISTINA'!$A$8:$E$37,4,0)))=TRUE,"",IF(VLOOKUP($G21,'STARTOVNÍ LISTINA'!$A$8:$E$37,4,0)=0,"",VLOOKUP($G21,'STARTOVNÍ LISTINA'!$A$8:$E$37,4,0)))</f>
        <v>SLOVENSKO, Košice</v>
      </c>
      <c r="E21" s="67">
        <f>IF(ISERROR(IF(VLOOKUP($G21,PRAC!$A$8:$L$37,5,0)=0,"",VLOOKUP($G21,PRAC!$A$8:$L$37,5,0)))=TRUE,"",IF(VLOOKUP($G21,PRAC!$A$8:$L$37,5,0)=0,"",VLOOKUP($G21,PRAC!$A$8:$L$37,5,0)))</f>
        <v>2.5290509259259259E-3</v>
      </c>
      <c r="F21" s="69">
        <f>IF(ISERROR(IF(VLOOKUP($G21,PRAC!$A$8:$L$37,12,0)=0,0,VLOOKUP($G21,PRAC!$A$8:$L$37,12,0)))=TRUE,"",IF(VLOOKUP($G21,PRAC!$A$8:$L$37,12,0)=0,0,VLOOKUP($G21,PRAC!$A$8:$L$37,12,0)))</f>
        <v>24</v>
      </c>
      <c r="G21" s="65">
        <v>4</v>
      </c>
      <c r="H21" s="39"/>
    </row>
    <row r="22" spans="1:8" s="40" customFormat="1" ht="18">
      <c r="A22" s="48">
        <v>14</v>
      </c>
      <c r="B22" s="217" t="str">
        <f>IF(ISERROR(IF(VLOOKUP($G22,'STARTOVNÍ LISTINA'!$A$8:$E$37,2,0)=0,"",VLOOKUP($G22,'STARTOVNÍ LISTINA'!$A$8:$E$37,2,0)))=TRUE,"",IF(VLOOKUP($G22,'STARTOVNÍ LISTINA'!$A$8:$E$37,2,0)=0,"",VLOOKUP($G22,'STARTOVNÍ LISTINA'!$A$8:$E$37,2,0)))</f>
        <v>BUROV Roman</v>
      </c>
      <c r="C22" s="52" t="str">
        <f>IF(ISERROR(IF(VLOOKUP($G22,'STARTOVNÍ LISTINA'!$A$8:$E$37,3,0)=0,"",VLOOKUP($G22,'STARTOVNÍ LISTINA'!$A$8:$E$37,3,0)))=TRUE,"",IF(VLOOKUP($G22,'STARTOVNÍ LISTINA'!$A$8:$E$37,3,0)=0,"",VLOOKUP($G22,'STARTOVNÍ LISTINA'!$A$8:$E$37,3,0)))</f>
        <v>BOSS (KŘP JMK)</v>
      </c>
      <c r="D22" s="51" t="str">
        <f>IF(ISERROR(IF(VLOOKUP($G22,'STARTOVNÍ LISTINA'!$A$8:$E$37,4,0)=0,"",VLOOKUP($G22,'STARTOVNÍ LISTINA'!$A$8:$E$37,4,0)))=TRUE,"",IF(VLOOKUP($G22,'STARTOVNÍ LISTINA'!$A$8:$E$37,4,0)=0,"",VLOOKUP($G22,'STARTOVNÍ LISTINA'!$A$8:$E$37,4,0)))</f>
        <v>RUSKO, Moskva</v>
      </c>
      <c r="E22" s="67">
        <f>IF(ISERROR(IF(VLOOKUP($G22,PRAC!$A$8:$L$37,5,0)=0,"",VLOOKUP($G22,PRAC!$A$8:$L$37,5,0)))=TRUE,"",IF(VLOOKUP($G22,PRAC!$A$8:$L$37,5,0)=0,"",VLOOKUP($G22,PRAC!$A$8:$L$37,5,0)))</f>
        <v>3.8031249999999996E-3</v>
      </c>
      <c r="F22" s="69">
        <f>IF(ISERROR(IF(VLOOKUP($G22,PRAC!$A$8:$L$37,12,0)=0,0,VLOOKUP($G22,PRAC!$A$8:$L$37,12,0)))=TRUE,"",IF(VLOOKUP($G22,PRAC!$A$8:$L$37,12,0)=0,0,VLOOKUP($G22,PRAC!$A$8:$L$37,12,0)))</f>
        <v>149</v>
      </c>
      <c r="G22" s="65">
        <v>10</v>
      </c>
      <c r="H22" s="39"/>
    </row>
    <row r="23" spans="1:8" s="40" customFormat="1" ht="18">
      <c r="A23" s="218" t="s">
        <v>130</v>
      </c>
      <c r="B23" s="238" t="str">
        <f>IF(ISERROR(IF(VLOOKUP($G23,'STARTOVNÍ LISTINA'!$A$8:$E$37,2,0)=0,"",VLOOKUP($G23,'STARTOVNÍ LISTINA'!$A$8:$E$37,2,0)))=TRUE,"",IF(VLOOKUP($G23,'STARTOVNÍ LISTINA'!$A$8:$E$37,2,0)=0,"",VLOOKUP($G23,'STARTOVNÍ LISTINA'!$A$8:$E$37,2,0)))</f>
        <v>TRNKOVÁ Simona, str.</v>
      </c>
      <c r="C23" s="219" t="str">
        <f>IF(ISERROR(IF(VLOOKUP($G23,'STARTOVNÍ LISTINA'!$A$8:$E$37,3,0)=0,"",VLOOKUP($G23,'STARTOVNÍ LISTINA'!$A$8:$E$37,3,0)))=TRUE,"",IF(VLOOKUP($G23,'STARTOVNÍ LISTINA'!$A$8:$E$37,3,0)=0,"",VLOOKUP($G23,'STARTOVNÍ LISTINA'!$A$8:$E$37,3,0)))</f>
        <v>SOLO XALA</v>
      </c>
      <c r="D23" s="220" t="str">
        <f>IF(ISERROR(IF(VLOOKUP($G23,'STARTOVNÍ LISTINA'!$A$8:$E$37,4,0)=0,"",VLOOKUP($G23,'STARTOVNÍ LISTINA'!$A$8:$E$37,4,0)))=TRUE,"",IF(VLOOKUP($G23,'STARTOVNÍ LISTINA'!$A$8:$E$37,4,0)=0,"",VLOOKUP($G23,'STARTOVNÍ LISTINA'!$A$8:$E$37,4,0)))</f>
        <v>MP Praha</v>
      </c>
      <c r="E23" s="221" t="str">
        <f>IF(ISERROR(IF(VLOOKUP($G23,PRAC!$A$8:$L$37,5,0)=0,"",VLOOKUP($G23,PRAC!$A$8:$L$37,5,0)))=TRUE,"",IF(VLOOKUP($G23,PRAC!$A$8:$L$37,5,0)=0,"",VLOOKUP($G23,PRAC!$A$8:$L$37,5,0)))</f>
        <v>–</v>
      </c>
      <c r="F23" s="222">
        <f>IF(ISERROR(IF(VLOOKUP($G23,PRAC!$A$8:$L$37,12,0)=0,0,VLOOKUP($G23,PRAC!$A$8:$L$37,12,0)))=TRUE,"",IF(VLOOKUP($G23,PRAC!$A$8:$L$37,12,0)=0,0,VLOOKUP($G23,PRAC!$A$8:$L$37,12,0)))</f>
        <v>200</v>
      </c>
      <c r="G23" s="223">
        <v>12</v>
      </c>
      <c r="H23" s="39"/>
    </row>
    <row r="24" spans="1:8" s="40" customFormat="1" ht="18">
      <c r="A24" s="218" t="s">
        <v>130</v>
      </c>
      <c r="B24" s="238" t="str">
        <f>IF(ISERROR(IF(VLOOKUP($G24,'STARTOVNÍ LISTINA'!$A$8:$E$37,2,0)=0,"",VLOOKUP($G24,'STARTOVNÍ LISTINA'!$A$8:$E$37,2,0)))=TRUE,"",IF(VLOOKUP($G24,'STARTOVNÍ LISTINA'!$A$8:$E$37,2,0)=0,"",VLOOKUP($G24,'STARTOVNÍ LISTINA'!$A$8:$E$37,2,0)))</f>
        <v>GASPÁR György</v>
      </c>
      <c r="C24" s="219" t="str">
        <f>IF(ISERROR(IF(VLOOKUP($G24,'STARTOVNÍ LISTINA'!$A$8:$E$37,3,0)=0,"",VLOOKUP($G24,'STARTOVNÍ LISTINA'!$A$8:$E$37,3,0)))=TRUE,"",IF(VLOOKUP($G24,'STARTOVNÍ LISTINA'!$A$8:$E$37,3,0)=0,"",VLOOKUP($G24,'STARTOVNÍ LISTINA'!$A$8:$E$37,3,0)))</f>
        <v>RUBIN</v>
      </c>
      <c r="D24" s="220" t="str">
        <f>IF(ISERROR(IF(VLOOKUP($G24,'STARTOVNÍ LISTINA'!$A$8:$E$37,4,0)=0,"",VLOOKUP($G24,'STARTOVNÍ LISTINA'!$A$8:$E$37,4,0)))=TRUE,"",IF(VLOOKUP($G24,'STARTOVNÍ LISTINA'!$A$8:$E$37,4,0)=0,"",VLOOKUP($G24,'STARTOVNÍ LISTINA'!$A$8:$E$37,4,0)))</f>
        <v>MAĎARSKO</v>
      </c>
      <c r="E24" s="221" t="str">
        <f>IF(ISERROR(IF(VLOOKUP($G24,PRAC!$A$8:$L$37,5,0)=0,"",VLOOKUP($G24,PRAC!$A$8:$L$37,5,0)))=TRUE,"",IF(VLOOKUP($G24,PRAC!$A$8:$L$37,5,0)=0,"",VLOOKUP($G24,PRAC!$A$8:$L$37,5,0)))</f>
        <v>–</v>
      </c>
      <c r="F24" s="222">
        <f>IF(ISERROR(IF(VLOOKUP($G24,PRAC!$A$8:$L$37,12,0)=0,0,VLOOKUP($G24,PRAC!$A$8:$L$37,12,0)))=TRUE,"",IF(VLOOKUP($G24,PRAC!$A$8:$L$37,12,0)=0,0,VLOOKUP($G24,PRAC!$A$8:$L$37,12,0)))</f>
        <v>200</v>
      </c>
      <c r="G24" s="223">
        <v>5</v>
      </c>
      <c r="H24" s="39"/>
    </row>
    <row r="25" spans="1:8" s="40" customFormat="1" ht="18">
      <c r="A25" s="218" t="s">
        <v>130</v>
      </c>
      <c r="B25" s="238" t="str">
        <f>IF(ISERROR(IF(VLOOKUP($G25,'STARTOVNÍ LISTINA'!$A$8:$E$37,2,0)=0,"",VLOOKUP($G25,'STARTOVNÍ LISTINA'!$A$8:$E$37,2,0)))=TRUE,"",IF(VLOOKUP($G25,'STARTOVNÍ LISTINA'!$A$8:$E$37,2,0)=0,"",VLOOKUP($G25,'STARTOVNÍ LISTINA'!$A$8:$E$37,2,0)))</f>
        <v>SZIVACKI Joszef Tibor</v>
      </c>
      <c r="C25" s="219" t="str">
        <f>IF(ISERROR(IF(VLOOKUP($G25,'STARTOVNÍ LISTINA'!$A$8:$E$37,3,0)=0,"",VLOOKUP($G25,'STARTOVNÍ LISTINA'!$A$8:$E$37,3,0)))=TRUE,"",IF(VLOOKUP($G25,'STARTOVNÍ LISTINA'!$A$8:$E$37,3,0)=0,"",VLOOKUP($G25,'STARTOVNÍ LISTINA'!$A$8:$E$37,3,0)))</f>
        <v>VELÚR</v>
      </c>
      <c r="D25" s="220" t="str">
        <f>IF(ISERROR(IF(VLOOKUP($G25,'STARTOVNÍ LISTINA'!$A$8:$E$37,4,0)=0,"",VLOOKUP($G25,'STARTOVNÍ LISTINA'!$A$8:$E$37,4,0)))=TRUE,"",IF(VLOOKUP($G25,'STARTOVNÍ LISTINA'!$A$8:$E$37,4,0)=0,"",VLOOKUP($G25,'STARTOVNÍ LISTINA'!$A$8:$E$37,4,0)))</f>
        <v>MAĎARSKO</v>
      </c>
      <c r="E25" s="221" t="str">
        <f>IF(ISERROR(IF(VLOOKUP($G25,PRAC!$A$8:$L$37,5,0)=0,"",VLOOKUP($G25,PRAC!$A$8:$L$37,5,0)))=TRUE,"",IF(VLOOKUP($G25,PRAC!$A$8:$L$37,5,0)=0,"",VLOOKUP($G25,PRAC!$A$8:$L$37,5,0)))</f>
        <v>–</v>
      </c>
      <c r="F25" s="222">
        <f>IF(ISERROR(IF(VLOOKUP($G25,PRAC!$A$8:$L$37,12,0)=0,0,VLOOKUP($G25,PRAC!$A$8:$L$37,12,0)))=TRUE,"",IF(VLOOKUP($G25,PRAC!$A$8:$L$37,12,0)=0,0,VLOOKUP($G25,PRAC!$A$8:$L$37,12,0)))</f>
        <v>200</v>
      </c>
      <c r="G25" s="223">
        <v>3</v>
      </c>
      <c r="H25" s="39"/>
    </row>
    <row r="26" spans="1:8" s="40" customFormat="1" ht="18">
      <c r="A26" s="218" t="s">
        <v>130</v>
      </c>
      <c r="B26" s="238" t="str">
        <f>IF(ISERROR(IF(VLOOKUP($G26,'STARTOVNÍ LISTINA'!$A$8:$E$37,2,0)=0,"",VLOOKUP($G26,'STARTOVNÍ LISTINA'!$A$8:$E$37,2,0)))=TRUE,"",IF(VLOOKUP($G26,'STARTOVNÍ LISTINA'!$A$8:$E$37,2,0)=0,"",VLOOKUP($G26,'STARTOVNÍ LISTINA'!$A$8:$E$37,2,0)))</f>
        <v>PILKO Stephan</v>
      </c>
      <c r="C26" s="219" t="str">
        <f>IF(ISERROR(IF(VLOOKUP($G26,'STARTOVNÍ LISTINA'!$A$8:$E$37,3,0)=0,"",VLOOKUP($G26,'STARTOVNÍ LISTINA'!$A$8:$E$37,3,0)))=TRUE,"",IF(VLOOKUP($G26,'STARTOVNÍ LISTINA'!$A$8:$E$37,3,0)=0,"",VLOOKUP($G26,'STARTOVNÍ LISTINA'!$A$8:$E$37,3,0)))</f>
        <v>QUICK STEP</v>
      </c>
      <c r="D26" s="220" t="str">
        <f>IF(ISERROR(IF(VLOOKUP($G26,'STARTOVNÍ LISTINA'!$A$8:$E$37,4,0)=0,"",VLOOKUP($G26,'STARTOVNÍ LISTINA'!$A$8:$E$37,4,0)))=TRUE,"",IF(VLOOKUP($G26,'STARTOVNÍ LISTINA'!$A$8:$E$37,4,0)=0,"",VLOOKUP($G26,'STARTOVNÍ LISTINA'!$A$8:$E$37,4,0)))</f>
        <v>NĚMECKO, Sasko</v>
      </c>
      <c r="E26" s="221" t="str">
        <f>IF(ISERROR(IF(VLOOKUP($G26,PRAC!$A$8:$L$37,5,0)=0,"",VLOOKUP($G26,PRAC!$A$8:$L$37,5,0)))=TRUE,"",IF(VLOOKUP($G26,PRAC!$A$8:$L$37,5,0)=0,"",VLOOKUP($G26,PRAC!$A$8:$L$37,5,0)))</f>
        <v>–</v>
      </c>
      <c r="F26" s="222">
        <f>IF(ISERROR(IF(VLOOKUP($G26,PRAC!$A$8:$L$37,12,0)=0,0,VLOOKUP($G26,PRAC!$A$8:$L$37,12,0)))=TRUE,"",IF(VLOOKUP($G26,PRAC!$A$8:$L$37,12,0)=0,0,VLOOKUP($G26,PRAC!$A$8:$L$37,12,0)))</f>
        <v>200</v>
      </c>
      <c r="G26" s="223">
        <v>16</v>
      </c>
      <c r="H26" s="39"/>
    </row>
    <row r="27" spans="1:8" s="40" customFormat="1" ht="18">
      <c r="A27" s="218" t="s">
        <v>130</v>
      </c>
      <c r="B27" s="238" t="str">
        <f>IF(ISERROR(IF(VLOOKUP($G27,'STARTOVNÍ LISTINA'!$A$8:$E$37,2,0)=0,"",VLOOKUP($G27,'STARTOVNÍ LISTINA'!$A$8:$E$37,2,0)))=TRUE,"",IF(VLOOKUP($G27,'STARTOVNÍ LISTINA'!$A$8:$E$37,2,0)=0,"",VLOOKUP($G27,'STARTOVNÍ LISTINA'!$A$8:$E$37,2,0)))</f>
        <v>PETROVIČ Zbyněk, str.</v>
      </c>
      <c r="C27" s="219" t="str">
        <f>IF(ISERROR(IF(VLOOKUP($G27,'STARTOVNÍ LISTINA'!$A$8:$E$37,3,0)=0,"",VLOOKUP($G27,'STARTOVNÍ LISTINA'!$A$8:$E$37,3,0)))=TRUE,"",IF(VLOOKUP($G27,'STARTOVNÍ LISTINA'!$A$8:$E$37,3,0)=0,"",VLOOKUP($G27,'STARTOVNÍ LISTINA'!$A$8:$E$37,3,0)))</f>
        <v>ROMKE FAVIDA</v>
      </c>
      <c r="D27" s="220" t="str">
        <f>IF(ISERROR(IF(VLOOKUP($G27,'STARTOVNÍ LISTINA'!$A$8:$E$37,4,0)=0,"",VLOOKUP($G27,'STARTOVNÍ LISTINA'!$A$8:$E$37,4,0)))=TRUE,"",IF(VLOOKUP($G27,'STARTOVNÍ LISTINA'!$A$8:$E$37,4,0)=0,"",VLOOKUP($G27,'STARTOVNÍ LISTINA'!$A$8:$E$37,4,0)))</f>
        <v>MP Praha</v>
      </c>
      <c r="E27" s="221" t="str">
        <f>IF(ISERROR(IF(VLOOKUP($G27,PRAC!$A$8:$L$37,5,0)=0,"",VLOOKUP($G27,PRAC!$A$8:$L$37,5,0)))=TRUE,"",IF(VLOOKUP($G27,PRAC!$A$8:$L$37,5,0)=0,"",VLOOKUP($G27,PRAC!$A$8:$L$37,5,0)))</f>
        <v>–</v>
      </c>
      <c r="F27" s="222">
        <f>IF(ISERROR(IF(VLOOKUP($G27,PRAC!$A$8:$L$37,12,0)=0,0,VLOOKUP($G27,PRAC!$A$8:$L$37,12,0)))=TRUE,"",IF(VLOOKUP($G27,PRAC!$A$8:$L$37,12,0)=0,0,VLOOKUP($G27,PRAC!$A$8:$L$37,12,0)))</f>
        <v>200</v>
      </c>
      <c r="G27" s="223">
        <v>15</v>
      </c>
      <c r="H27" s="39"/>
    </row>
    <row r="28" spans="1:8" s="40" customFormat="1" ht="18">
      <c r="A28" s="218" t="s">
        <v>130</v>
      </c>
      <c r="B28" s="238" t="str">
        <f>IF(ISERROR(IF(VLOOKUP($G28,'STARTOVNÍ LISTINA'!$A$8:$E$37,2,0)=0,"",VLOOKUP($G28,'STARTOVNÍ LISTINA'!$A$8:$E$37,2,0)))=TRUE,"",IF(VLOOKUP($G28,'STARTOVNÍ LISTINA'!$A$8:$E$37,2,0)=0,"",VLOOKUP($G28,'STARTOVNÍ LISTINA'!$A$8:$E$37,2,0)))</f>
        <v>KUROPATNICKÁ Zuzana, nstržm.</v>
      </c>
      <c r="C28" s="219" t="str">
        <f>IF(ISERROR(IF(VLOOKUP($G28,'STARTOVNÍ LISTINA'!$A$8:$E$37,3,0)=0,"",VLOOKUP($G28,'STARTOVNÍ LISTINA'!$A$8:$E$37,3,0)))=TRUE,"",IF(VLOOKUP($G28,'STARTOVNÍ LISTINA'!$A$8:$E$37,3,0)=0,"",VLOOKUP($G28,'STARTOVNÍ LISTINA'!$A$8:$E$37,3,0)))</f>
        <v>CASSIUS</v>
      </c>
      <c r="D28" s="220" t="str">
        <f>IF(ISERROR(IF(VLOOKUP($G28,'STARTOVNÍ LISTINA'!$A$8:$E$37,4,0)=0,"",VLOOKUP($G28,'STARTOVNÍ LISTINA'!$A$8:$E$37,4,0)))=TRUE,"",IF(VLOOKUP($G28,'STARTOVNÍ LISTINA'!$A$8:$E$37,4,0)=0,"",VLOOKUP($G28,'STARTOVNÍ LISTINA'!$A$8:$E$37,4,0)))</f>
        <v>KŘP hlavního města Prahy</v>
      </c>
      <c r="E28" s="221" t="str">
        <f>IF(ISERROR(IF(VLOOKUP($G28,PRAC!$A$8:$L$37,5,0)=0,"",VLOOKUP($G28,PRAC!$A$8:$L$37,5,0)))=TRUE,"",IF(VLOOKUP($G28,PRAC!$A$8:$L$37,5,0)=0,"",VLOOKUP($G28,PRAC!$A$8:$L$37,5,0)))</f>
        <v>–</v>
      </c>
      <c r="F28" s="222">
        <f>IF(ISERROR(IF(VLOOKUP($G28,PRAC!$A$8:$L$37,12,0)=0,0,VLOOKUP($G28,PRAC!$A$8:$L$37,12,0)))=TRUE,"",IF(VLOOKUP($G28,PRAC!$A$8:$L$37,12,0)=0,0,VLOOKUP($G28,PRAC!$A$8:$L$37,12,0)))</f>
        <v>200</v>
      </c>
      <c r="G28" s="223">
        <v>9</v>
      </c>
      <c r="H28" s="39"/>
    </row>
    <row r="29" spans="1:8" s="40" customFormat="1" ht="18">
      <c r="A29" s="218" t="s">
        <v>130</v>
      </c>
      <c r="B29" s="238" t="str">
        <f>IF(ISERROR(IF(VLOOKUP($G29,'STARTOVNÍ LISTINA'!$A$8:$E$37,2,0)=0,"",VLOOKUP($G29,'STARTOVNÍ LISTINA'!$A$8:$E$37,2,0)))=TRUE,"",IF(VLOOKUP($G29,'STARTOVNÍ LISTINA'!$A$8:$E$37,2,0)=0,"",VLOOKUP($G29,'STARTOVNÍ LISTINA'!$A$8:$E$37,2,0)))</f>
        <v>HRADIL Tomáš, pprap.</v>
      </c>
      <c r="C29" s="219" t="str">
        <f>IF(ISERROR(IF(VLOOKUP($G29,'STARTOVNÍ LISTINA'!$A$8:$E$37,3,0)=0,"",VLOOKUP($G29,'STARTOVNÍ LISTINA'!$A$8:$E$37,3,0)))=TRUE,"",IF(VLOOKUP($G29,'STARTOVNÍ LISTINA'!$A$8:$E$37,3,0)=0,"",VLOOKUP($G29,'STARTOVNÍ LISTINA'!$A$8:$E$37,3,0)))</f>
        <v>ŽAGIR</v>
      </c>
      <c r="D29" s="220" t="str">
        <f>IF(ISERROR(IF(VLOOKUP($G29,'STARTOVNÍ LISTINA'!$A$8:$E$37,4,0)=0,"",VLOOKUP($G29,'STARTOVNÍ LISTINA'!$A$8:$E$37,4,0)))=TRUE,"",IF(VLOOKUP($G29,'STARTOVNÍ LISTINA'!$A$8:$E$37,4,0)=0,"",VLOOKUP($G29,'STARTOVNÍ LISTINA'!$A$8:$E$37,4,0)))</f>
        <v>KŘP hlavního města Prahy</v>
      </c>
      <c r="E29" s="221" t="str">
        <f>IF(ISERROR(IF(VLOOKUP($G29,PRAC!$A$8:$L$37,5,0)=0,"",VLOOKUP($G29,PRAC!$A$8:$L$37,5,0)))=TRUE,"",IF(VLOOKUP($G29,PRAC!$A$8:$L$37,5,0)=0,"",VLOOKUP($G29,PRAC!$A$8:$L$37,5,0)))</f>
        <v>–</v>
      </c>
      <c r="F29" s="222">
        <f>IF(ISERROR(IF(VLOOKUP($G29,PRAC!$A$8:$L$37,12,0)=0,0,VLOOKUP($G29,PRAC!$A$8:$L$37,12,0)))=TRUE,"",IF(VLOOKUP($G29,PRAC!$A$8:$L$37,12,0)=0,0,VLOOKUP($G29,PRAC!$A$8:$L$37,12,0)))</f>
        <v>200</v>
      </c>
      <c r="G29" s="223">
        <v>19</v>
      </c>
      <c r="H29" s="39"/>
    </row>
    <row r="30" spans="1:8" s="40" customFormat="1" ht="18">
      <c r="A30" s="48"/>
      <c r="B30" s="217" t="str">
        <f>IF(ISERROR(IF(VLOOKUP($G30,'STARTOVNÍ LISTINA'!$A$8:$E$37,2,0)=0,"",VLOOKUP($G30,'STARTOVNÍ LISTINA'!$A$8:$E$37,2,0)))=TRUE,"",IF(VLOOKUP($G30,'STARTOVNÍ LISTINA'!$A$8:$E$37,2,0)=0,"",VLOOKUP($G30,'STARTOVNÍ LISTINA'!$A$8:$E$37,2,0)))</f>
        <v/>
      </c>
      <c r="C30" s="52" t="str">
        <f>IF(ISERROR(IF(VLOOKUP($G30,'STARTOVNÍ LISTINA'!$A$8:$E$37,3,0)=0,"",VLOOKUP($G30,'STARTOVNÍ LISTINA'!$A$8:$E$37,3,0)))=TRUE,"",IF(VLOOKUP($G30,'STARTOVNÍ LISTINA'!$A$8:$E$37,3,0)=0,"",VLOOKUP($G30,'STARTOVNÍ LISTINA'!$A$8:$E$37,3,0)))</f>
        <v/>
      </c>
      <c r="D30" s="51" t="str">
        <f>IF(ISERROR(IF(VLOOKUP($G30,'STARTOVNÍ LISTINA'!$A$8:$E$37,4,0)=0,"",VLOOKUP($G30,'STARTOVNÍ LISTINA'!$A$8:$E$37,4,0)))=TRUE,"",IF(VLOOKUP($G30,'STARTOVNÍ LISTINA'!$A$8:$E$37,4,0)=0,"",VLOOKUP($G30,'STARTOVNÍ LISTINA'!$A$8:$E$37,4,0)))</f>
        <v/>
      </c>
      <c r="E30" s="67" t="str">
        <f>IF(ISERROR(IF(VLOOKUP($G30,PRAC!$A$8:$L$37,5,0)=0,"",VLOOKUP($G30,PRAC!$A$8:$L$37,5,0)))=TRUE,"",IF(VLOOKUP($G30,PRAC!$A$8:$L$37,5,0)=0,"",VLOOKUP($G30,PRAC!$A$8:$L$37,5,0)))</f>
        <v/>
      </c>
      <c r="F30" s="69" t="str">
        <f>IF(ISERROR(IF(VLOOKUP($G30,PRAC!$A$8:$L$37,12,0)=0,0,VLOOKUP($G30,PRAC!$A$8:$L$37,12,0)))=TRUE,"",IF(VLOOKUP($G30,PRAC!$A$8:$L$37,12,0)=0,0,VLOOKUP($G30,PRAC!$A$8:$L$37,12,0)))</f>
        <v/>
      </c>
      <c r="G30" s="65"/>
      <c r="H30" s="39"/>
    </row>
    <row r="31" spans="1:8" s="40" customFormat="1" ht="18">
      <c r="A31" s="48"/>
      <c r="B31" s="217" t="str">
        <f>IF(ISERROR(IF(VLOOKUP($G31,'STARTOVNÍ LISTINA'!$A$8:$E$37,2,0)=0,"",VLOOKUP($G31,'STARTOVNÍ LISTINA'!$A$8:$E$37,2,0)))=TRUE,"",IF(VLOOKUP($G31,'STARTOVNÍ LISTINA'!$A$8:$E$37,2,0)=0,"",VLOOKUP($G31,'STARTOVNÍ LISTINA'!$A$8:$E$37,2,0)))</f>
        <v/>
      </c>
      <c r="C31" s="52" t="str">
        <f>IF(ISERROR(IF(VLOOKUP($G31,'STARTOVNÍ LISTINA'!$A$8:$E$37,3,0)=0,"",VLOOKUP($G31,'STARTOVNÍ LISTINA'!$A$8:$E$37,3,0)))=TRUE,"",IF(VLOOKUP($G31,'STARTOVNÍ LISTINA'!$A$8:$E$37,3,0)=0,"",VLOOKUP($G31,'STARTOVNÍ LISTINA'!$A$8:$E$37,3,0)))</f>
        <v/>
      </c>
      <c r="D31" s="51" t="str">
        <f>IF(ISERROR(IF(VLOOKUP($G31,'STARTOVNÍ LISTINA'!$A$8:$E$37,4,0)=0,"",VLOOKUP($G31,'STARTOVNÍ LISTINA'!$A$8:$E$37,4,0)))=TRUE,"",IF(VLOOKUP($G31,'STARTOVNÍ LISTINA'!$A$8:$E$37,4,0)=0,"",VLOOKUP($G31,'STARTOVNÍ LISTINA'!$A$8:$E$37,4,0)))</f>
        <v/>
      </c>
      <c r="E31" s="67" t="str">
        <f>IF(ISERROR(IF(VLOOKUP($G31,PRAC!$A$8:$L$37,5,0)=0,"",VLOOKUP($G31,PRAC!$A$8:$L$37,5,0)))=TRUE,"",IF(VLOOKUP($G31,PRAC!$A$8:$L$37,5,0)=0,"",VLOOKUP($G31,PRAC!$A$8:$L$37,5,0)))</f>
        <v/>
      </c>
      <c r="F31" s="69" t="str">
        <f>IF(ISERROR(IF(VLOOKUP($G31,PRAC!$A$8:$L$37,12,0)=0,0,VLOOKUP($G31,PRAC!$A$8:$L$37,12,0)))=TRUE,"",IF(VLOOKUP($G31,PRAC!$A$8:$L$37,12,0)=0,0,VLOOKUP($G31,PRAC!$A$8:$L$37,12,0)))</f>
        <v/>
      </c>
      <c r="G31" s="66"/>
      <c r="H31" s="39"/>
    </row>
    <row r="32" spans="1:8" s="40" customFormat="1" ht="18">
      <c r="A32" s="48"/>
      <c r="B32" s="217" t="str">
        <f>IF(ISERROR(IF(VLOOKUP($G32,'STARTOVNÍ LISTINA'!$A$8:$E$37,2,0)=0,"",VLOOKUP($G32,'STARTOVNÍ LISTINA'!$A$8:$E$37,2,0)))=TRUE,"",IF(VLOOKUP($G32,'STARTOVNÍ LISTINA'!$A$8:$E$37,2,0)=0,"",VLOOKUP($G32,'STARTOVNÍ LISTINA'!$A$8:$E$37,2,0)))</f>
        <v/>
      </c>
      <c r="C32" s="52" t="str">
        <f>IF(ISERROR(IF(VLOOKUP($G32,'STARTOVNÍ LISTINA'!$A$8:$E$37,3,0)=0,"",VLOOKUP($G32,'STARTOVNÍ LISTINA'!$A$8:$E$37,3,0)))=TRUE,"",IF(VLOOKUP($G32,'STARTOVNÍ LISTINA'!$A$8:$E$37,3,0)=0,"",VLOOKUP($G32,'STARTOVNÍ LISTINA'!$A$8:$E$37,3,0)))</f>
        <v/>
      </c>
      <c r="D32" s="51" t="str">
        <f>IF(ISERROR(IF(VLOOKUP($G32,'STARTOVNÍ LISTINA'!$A$8:$E$37,4,0)=0,"",VLOOKUP($G32,'STARTOVNÍ LISTINA'!$A$8:$E$37,4,0)))=TRUE,"",IF(VLOOKUP($G32,'STARTOVNÍ LISTINA'!$A$8:$E$37,4,0)=0,"",VLOOKUP($G32,'STARTOVNÍ LISTINA'!$A$8:$E$37,4,0)))</f>
        <v/>
      </c>
      <c r="E32" s="67" t="str">
        <f>IF(ISERROR(IF(VLOOKUP($G32,PRAC!$A$8:$L$37,5,0)=0,"",VLOOKUP($G32,PRAC!$A$8:$L$37,5,0)))=TRUE,"",IF(VLOOKUP($G32,PRAC!$A$8:$L$37,5,0)=0,"",VLOOKUP($G32,PRAC!$A$8:$L$37,5,0)))</f>
        <v/>
      </c>
      <c r="F32" s="69" t="str">
        <f>IF(ISERROR(IF(VLOOKUP($G32,PRAC!$A$8:$L$37,12,0)=0,0,VLOOKUP($G32,PRAC!$A$8:$L$37,12,0)))=TRUE,"",IF(VLOOKUP($G32,PRAC!$A$8:$L$37,12,0)=0,0,VLOOKUP($G32,PRAC!$A$8:$L$37,12,0)))</f>
        <v/>
      </c>
      <c r="G32" s="65"/>
      <c r="H32" s="39"/>
    </row>
    <row r="33" spans="1:8" s="40" customFormat="1" ht="18">
      <c r="A33" s="48"/>
      <c r="B33" s="217" t="str">
        <f>IF(ISERROR(IF(VLOOKUP($G33,'STARTOVNÍ LISTINA'!$A$8:$E$37,2,0)=0,"",VLOOKUP($G33,'STARTOVNÍ LISTINA'!$A$8:$E$37,2,0)))=TRUE,"",IF(VLOOKUP($G33,'STARTOVNÍ LISTINA'!$A$8:$E$37,2,0)=0,"",VLOOKUP($G33,'STARTOVNÍ LISTINA'!$A$8:$E$37,2,0)))</f>
        <v/>
      </c>
      <c r="C33" s="52" t="str">
        <f>IF(ISERROR(IF(VLOOKUP($G33,'STARTOVNÍ LISTINA'!$A$8:$E$37,3,0)=0,"",VLOOKUP($G33,'STARTOVNÍ LISTINA'!$A$8:$E$37,3,0)))=TRUE,"",IF(VLOOKUP($G33,'STARTOVNÍ LISTINA'!$A$8:$E$37,3,0)=0,"",VLOOKUP($G33,'STARTOVNÍ LISTINA'!$A$8:$E$37,3,0)))</f>
        <v/>
      </c>
      <c r="D33" s="51" t="str">
        <f>IF(ISERROR(IF(VLOOKUP($G33,'STARTOVNÍ LISTINA'!$A$8:$E$37,4,0)=0,"",VLOOKUP($G33,'STARTOVNÍ LISTINA'!$A$8:$E$37,4,0)))=TRUE,"",IF(VLOOKUP($G33,'STARTOVNÍ LISTINA'!$A$8:$E$37,4,0)=0,"",VLOOKUP($G33,'STARTOVNÍ LISTINA'!$A$8:$E$37,4,0)))</f>
        <v/>
      </c>
      <c r="E33" s="67" t="str">
        <f>IF(ISERROR(IF(VLOOKUP($G33,PRAC!$A$8:$L$37,5,0)=0,"",VLOOKUP($G33,PRAC!$A$8:$L$37,5,0)))=TRUE,"",IF(VLOOKUP($G33,PRAC!$A$8:$L$37,5,0)=0,"",VLOOKUP($G33,PRAC!$A$8:$L$37,5,0)))</f>
        <v/>
      </c>
      <c r="F33" s="69" t="str">
        <f>IF(ISERROR(IF(VLOOKUP($G33,PRAC!$A$8:$L$37,12,0)=0,0,VLOOKUP($G33,PRAC!$A$8:$L$37,12,0)))=TRUE,"",IF(VLOOKUP($G33,PRAC!$A$8:$L$37,12,0)=0,0,VLOOKUP($G33,PRAC!$A$8:$L$37,12,0)))</f>
        <v/>
      </c>
      <c r="G33" s="65"/>
      <c r="H33" s="39"/>
    </row>
    <row r="34" spans="1:8" s="40" customFormat="1" ht="18">
      <c r="A34" s="48"/>
      <c r="B34" s="217" t="str">
        <f>IF(ISERROR(IF(VLOOKUP($G34,'STARTOVNÍ LISTINA'!$A$8:$E$37,2,0)=0,"",VLOOKUP($G34,'STARTOVNÍ LISTINA'!$A$8:$E$37,2,0)))=TRUE,"",IF(VLOOKUP($G34,'STARTOVNÍ LISTINA'!$A$8:$E$37,2,0)=0,"",VLOOKUP($G34,'STARTOVNÍ LISTINA'!$A$8:$E$37,2,0)))</f>
        <v/>
      </c>
      <c r="C34" s="52" t="str">
        <f>IF(ISERROR(IF(VLOOKUP($G34,'STARTOVNÍ LISTINA'!$A$8:$E$37,3,0)=0,"",VLOOKUP($G34,'STARTOVNÍ LISTINA'!$A$8:$E$37,3,0)))=TRUE,"",IF(VLOOKUP($G34,'STARTOVNÍ LISTINA'!$A$8:$E$37,3,0)=0,"",VLOOKUP($G34,'STARTOVNÍ LISTINA'!$A$8:$E$37,3,0)))</f>
        <v/>
      </c>
      <c r="D34" s="51" t="str">
        <f>IF(ISERROR(IF(VLOOKUP($G34,'STARTOVNÍ LISTINA'!$A$8:$E$37,4,0)=0,"",VLOOKUP($G34,'STARTOVNÍ LISTINA'!$A$8:$E$37,4,0)))=TRUE,"",IF(VLOOKUP($G34,'STARTOVNÍ LISTINA'!$A$8:$E$37,4,0)=0,"",VLOOKUP($G34,'STARTOVNÍ LISTINA'!$A$8:$E$37,4,0)))</f>
        <v/>
      </c>
      <c r="E34" s="67" t="str">
        <f>IF(ISERROR(IF(VLOOKUP($G34,PRAC!$A$8:$L$37,5,0)=0,"",VLOOKUP($G34,PRAC!$A$8:$L$37,5,0)))=TRUE,"",IF(VLOOKUP($G34,PRAC!$A$8:$L$37,5,0)=0,"",VLOOKUP($G34,PRAC!$A$8:$L$37,5,0)))</f>
        <v/>
      </c>
      <c r="F34" s="69" t="str">
        <f>IF(ISERROR(IF(VLOOKUP($G34,PRAC!$A$8:$L$37,12,0)=0,0,VLOOKUP($G34,PRAC!$A$8:$L$37,12,0)))=TRUE,"",IF(VLOOKUP($G34,PRAC!$A$8:$L$37,12,0)=0,0,VLOOKUP($G34,PRAC!$A$8:$L$37,12,0)))</f>
        <v/>
      </c>
      <c r="G34" s="65"/>
      <c r="H34" s="39"/>
    </row>
    <row r="35" spans="1:8" s="40" customFormat="1" ht="18">
      <c r="A35" s="48"/>
      <c r="B35" s="217" t="str">
        <f>IF(ISERROR(IF(VLOOKUP($G35,'STARTOVNÍ LISTINA'!$A$8:$E$37,2,0)=0,"",VLOOKUP($G35,'STARTOVNÍ LISTINA'!$A$8:$E$37,2,0)))=TRUE,"",IF(VLOOKUP($G35,'STARTOVNÍ LISTINA'!$A$8:$E$37,2,0)=0,"",VLOOKUP($G35,'STARTOVNÍ LISTINA'!$A$8:$E$37,2,0)))</f>
        <v/>
      </c>
      <c r="C35" s="52" t="str">
        <f>IF(ISERROR(IF(VLOOKUP($G35,'STARTOVNÍ LISTINA'!$A$8:$E$37,3,0)=0,"",VLOOKUP($G35,'STARTOVNÍ LISTINA'!$A$8:$E$37,3,0)))=TRUE,"",IF(VLOOKUP($G35,'STARTOVNÍ LISTINA'!$A$8:$E$37,3,0)=0,"",VLOOKUP($G35,'STARTOVNÍ LISTINA'!$A$8:$E$37,3,0)))</f>
        <v/>
      </c>
      <c r="D35" s="51" t="str">
        <f>IF(ISERROR(IF(VLOOKUP($G35,'STARTOVNÍ LISTINA'!$A$8:$E$37,4,0)=0,"",VLOOKUP($G35,'STARTOVNÍ LISTINA'!$A$8:$E$37,4,0)))=TRUE,"",IF(VLOOKUP($G35,'STARTOVNÍ LISTINA'!$A$8:$E$37,4,0)=0,"",VLOOKUP($G35,'STARTOVNÍ LISTINA'!$A$8:$E$37,4,0)))</f>
        <v/>
      </c>
      <c r="E35" s="67" t="str">
        <f>IF(ISERROR(IF(VLOOKUP($G35,PRAC!$A$8:$L$37,5,0)=0,"",VLOOKUP($G35,PRAC!$A$8:$L$37,5,0)))=TRUE,"",IF(VLOOKUP($G35,PRAC!$A$8:$L$37,5,0)=0,"",VLOOKUP($G35,PRAC!$A$8:$L$37,5,0)))</f>
        <v/>
      </c>
      <c r="F35" s="69" t="str">
        <f>IF(ISERROR(IF(VLOOKUP($G35,PRAC!$A$8:$L$37,12,0)=0,0,VLOOKUP($G35,PRAC!$A$8:$L$37,12,0)))=TRUE,"",IF(VLOOKUP($G35,PRAC!$A$8:$L$37,12,0)=0,0,VLOOKUP($G35,PRAC!$A$8:$L$37,12,0)))</f>
        <v/>
      </c>
      <c r="G35" s="65"/>
      <c r="H35" s="39"/>
    </row>
    <row r="36" spans="1:8" s="40" customFormat="1" ht="18">
      <c r="A36" s="48"/>
      <c r="B36" s="217" t="str">
        <f>IF(ISERROR(IF(VLOOKUP($G36,'STARTOVNÍ LISTINA'!$A$8:$E$37,2,0)=0,"",VLOOKUP($G36,'STARTOVNÍ LISTINA'!$A$8:$E$37,2,0)))=TRUE,"",IF(VLOOKUP($G36,'STARTOVNÍ LISTINA'!$A$8:$E$37,2,0)=0,"",VLOOKUP($G36,'STARTOVNÍ LISTINA'!$A$8:$E$37,2,0)))</f>
        <v/>
      </c>
      <c r="C36" s="52" t="str">
        <f>IF(ISERROR(IF(VLOOKUP($G36,'STARTOVNÍ LISTINA'!$A$8:$E$37,3,0)=0,"",VLOOKUP($G36,'STARTOVNÍ LISTINA'!$A$8:$E$37,3,0)))=TRUE,"",IF(VLOOKUP($G36,'STARTOVNÍ LISTINA'!$A$8:$E$37,3,0)=0,"",VLOOKUP($G36,'STARTOVNÍ LISTINA'!$A$8:$E$37,3,0)))</f>
        <v/>
      </c>
      <c r="D36" s="51" t="str">
        <f>IF(ISERROR(IF(VLOOKUP($G36,'STARTOVNÍ LISTINA'!$A$8:$E$37,4,0)=0,"",VLOOKUP($G36,'STARTOVNÍ LISTINA'!$A$8:$E$37,4,0)))=TRUE,"",IF(VLOOKUP($G36,'STARTOVNÍ LISTINA'!$A$8:$E$37,4,0)=0,"",VLOOKUP($G36,'STARTOVNÍ LISTINA'!$A$8:$E$37,4,0)))</f>
        <v/>
      </c>
      <c r="E36" s="67" t="str">
        <f>IF(ISERROR(IF(VLOOKUP($G36,PRAC!$A$8:$L$37,5,0)=0,"",VLOOKUP($G36,PRAC!$A$8:$L$37,5,0)))=TRUE,"",IF(VLOOKUP($G36,PRAC!$A$8:$L$37,5,0)=0,"",VLOOKUP($G36,PRAC!$A$8:$L$37,5,0)))</f>
        <v/>
      </c>
      <c r="F36" s="69" t="str">
        <f>IF(ISERROR(IF(VLOOKUP($G36,PRAC!$A$8:$L$37,12,0)=0,0,VLOOKUP($G36,PRAC!$A$8:$L$37,12,0)))=TRUE,"",IF(VLOOKUP($G36,PRAC!$A$8:$L$37,12,0)=0,0,VLOOKUP($G36,PRAC!$A$8:$L$37,12,0)))</f>
        <v/>
      </c>
      <c r="G36" s="65"/>
      <c r="H36" s="39"/>
    </row>
    <row r="37" spans="1:8" s="40" customFormat="1" ht="18">
      <c r="A37" s="48"/>
      <c r="B37" s="217" t="str">
        <f>IF(ISERROR(IF(VLOOKUP($G37,'STARTOVNÍ LISTINA'!$A$8:$E$37,2,0)=0,"",VLOOKUP($G37,'STARTOVNÍ LISTINA'!$A$8:$E$37,2,0)))=TRUE,"",IF(VLOOKUP($G37,'STARTOVNÍ LISTINA'!$A$8:$E$37,2,0)=0,"",VLOOKUP($G37,'STARTOVNÍ LISTINA'!$A$8:$E$37,2,0)))</f>
        <v/>
      </c>
      <c r="C37" s="52" t="str">
        <f>IF(ISERROR(IF(VLOOKUP($G37,'STARTOVNÍ LISTINA'!$A$8:$E$37,3,0)=0,"",VLOOKUP($G37,'STARTOVNÍ LISTINA'!$A$8:$E$37,3,0)))=TRUE,"",IF(VLOOKUP($G37,'STARTOVNÍ LISTINA'!$A$8:$E$37,3,0)=0,"",VLOOKUP($G37,'STARTOVNÍ LISTINA'!$A$8:$E$37,3,0)))</f>
        <v/>
      </c>
      <c r="D37" s="51" t="str">
        <f>IF(ISERROR(IF(VLOOKUP($G37,'STARTOVNÍ LISTINA'!$A$8:$E$37,4,0)=0,"",VLOOKUP($G37,'STARTOVNÍ LISTINA'!$A$8:$E$37,4,0)))=TRUE,"",IF(VLOOKUP($G37,'STARTOVNÍ LISTINA'!$A$8:$E$37,4,0)=0,"",VLOOKUP($G37,'STARTOVNÍ LISTINA'!$A$8:$E$37,4,0)))</f>
        <v/>
      </c>
      <c r="E37" s="67" t="str">
        <f>IF(ISERROR(IF(VLOOKUP($G37,PRAC!$A$8:$L$37,5,0)=0,"",VLOOKUP($G37,PRAC!$A$8:$L$37,5,0)))=TRUE,"",IF(VLOOKUP($G37,PRAC!$A$8:$L$37,5,0)=0,"",VLOOKUP($G37,PRAC!$A$8:$L$37,5,0)))</f>
        <v/>
      </c>
      <c r="F37" s="69" t="str">
        <f>IF(ISERROR(IF(VLOOKUP($G37,PRAC!$A$8:$L$37,12,0)=0,0,VLOOKUP($G37,PRAC!$A$8:$L$37,12,0)))=TRUE,"",IF(VLOOKUP($G37,PRAC!$A$8:$L$37,12,0)=0,0,VLOOKUP($G37,PRAC!$A$8:$L$37,12,0)))</f>
        <v/>
      </c>
      <c r="G37" s="65"/>
      <c r="H37" s="39"/>
    </row>
    <row r="38" spans="1:8" s="40" customFormat="1" ht="18">
      <c r="A38" s="48"/>
      <c r="B38" s="217" t="str">
        <f>IF(ISERROR(IF(VLOOKUP($G38,'STARTOVNÍ LISTINA'!$A$8:$E$37,2,0)=0,"",VLOOKUP($G38,'STARTOVNÍ LISTINA'!$A$8:$E$37,2,0)))=TRUE,"",IF(VLOOKUP($G38,'STARTOVNÍ LISTINA'!$A$8:$E$37,2,0)=0,"",VLOOKUP($G38,'STARTOVNÍ LISTINA'!$A$8:$E$37,2,0)))</f>
        <v/>
      </c>
      <c r="C38" s="52" t="str">
        <f>IF(ISERROR(IF(VLOOKUP($G38,'STARTOVNÍ LISTINA'!$A$8:$E$37,3,0)=0,"",VLOOKUP($G38,'STARTOVNÍ LISTINA'!$A$8:$E$37,3,0)))=TRUE,"",IF(VLOOKUP($G38,'STARTOVNÍ LISTINA'!$A$8:$E$37,3,0)=0,"",VLOOKUP($G38,'STARTOVNÍ LISTINA'!$A$8:$E$37,3,0)))</f>
        <v/>
      </c>
      <c r="D38" s="51" t="str">
        <f>IF(ISERROR(IF(VLOOKUP($G38,'STARTOVNÍ LISTINA'!$A$8:$E$37,4,0)=0,"",VLOOKUP($G38,'STARTOVNÍ LISTINA'!$A$8:$E$37,4,0)))=TRUE,"",IF(VLOOKUP($G38,'STARTOVNÍ LISTINA'!$A$8:$E$37,4,0)=0,"",VLOOKUP($G38,'STARTOVNÍ LISTINA'!$A$8:$E$37,4,0)))</f>
        <v/>
      </c>
      <c r="E38" s="67" t="str">
        <f>IF(ISERROR(IF(VLOOKUP($G38,PRAC!$A$8:$L$37,5,0)=0,"",VLOOKUP($G38,PRAC!$A$8:$L$37,5,0)))=TRUE,"",IF(VLOOKUP($G38,PRAC!$A$8:$L$37,5,0)=0,"",VLOOKUP($G38,PRAC!$A$8:$L$37,5,0)))</f>
        <v/>
      </c>
      <c r="F38" s="69" t="str">
        <f>IF(ISERROR(IF(VLOOKUP($G38,PRAC!$A$8:$L$37,12,0)=0,0,VLOOKUP($G38,PRAC!$A$8:$L$37,12,0)))=TRUE,"",IF(VLOOKUP($G38,PRAC!$A$8:$L$37,12,0)=0,0,VLOOKUP($G38,PRAC!$A$8:$L$37,12,0)))</f>
        <v/>
      </c>
      <c r="G38" s="65"/>
      <c r="H38" s="39"/>
    </row>
    <row r="39" spans="1:8" s="40" customFormat="1" ht="18">
      <c r="A39" s="48"/>
      <c r="B39" s="217" t="str">
        <f>IF(G39=G38,"",IF(ISERROR(IF(VLOOKUP($G39,'STARTOVNÍ LISTINA'!$A$8:$E$37,2,0)=0,"",VLOOKUP($G39,'STARTOVNÍ LISTINA'!$A$8:$E$37,2,0)))=TRUE,"",IF(VLOOKUP($G39,'STARTOVNÍ LISTINA'!$A$8:$E$37,2,0)=0,"",VLOOKUP($G39,'STARTOVNÍ LISTINA'!$A$8:$E$37,2,0))))</f>
        <v/>
      </c>
      <c r="C39" s="52" t="str">
        <f>IF(G39=G38,"",IF(ISERROR(IF(VLOOKUP($G39,'STARTOVNÍ LISTINA'!$A$8:$E$37,3,0)=0,"",VLOOKUP($G39,'STARTOVNÍ LISTINA'!$A$8:$E$37,3,0)))=TRUE,"",IF(VLOOKUP($G39,'STARTOVNÍ LISTINA'!$A$8:$E$37,3,0)=0,"",VLOOKUP($G39,'STARTOVNÍ LISTINA'!$A$8:$E$37,3,0))))</f>
        <v/>
      </c>
      <c r="D39" s="51" t="str">
        <f>IF(G39=G38,"",IF(ISERROR(IF(VLOOKUP($G39,'STARTOVNÍ LISTINA'!$A$8:$E$37,4,0)=0,"",VLOOKUP($G39,'STARTOVNÍ LISTINA'!$A$8:$E$37,4,0)))=TRUE,"",IF(VLOOKUP($G39,'STARTOVNÍ LISTINA'!$A$8:$E$37,4,0)=0,"",VLOOKUP($G39,'STARTOVNÍ LISTINA'!$A$8:$E$37,4,0))))</f>
        <v/>
      </c>
      <c r="E39" s="67" t="str">
        <f>IF(G39=G38,"",IF(ISERROR(IF(VLOOKUP($G39,PRAC!$A$8:$L$37,5,0)=0,"",VLOOKUP($G39,PRAC!$A$8:$L$37,5,0)))=TRUE,"",IF(VLOOKUP($G39,PRAC!$A$8:$L$37,5,0)=0,"",VLOOKUP($G39,PRAC!$A$8:$L$37,5,0))))</f>
        <v/>
      </c>
      <c r="F39" s="69" t="str">
        <f>IF(G39=G38,"",IF(ISERROR(IF(VLOOKUP($G39,PRAC!$A$8:$L$37,12,0)=0,0,VLOOKUP($G39,PRAC!$A$8:$L$37,12,0)))=TRUE,"",IF(VLOOKUP($G39,PRAC!$A$8:$L$37,12,0)=0,0,VLOOKUP($G39,PRAC!$A$8:$L$37,12,0))))</f>
        <v/>
      </c>
      <c r="G39" s="65"/>
      <c r="H39" s="39"/>
    </row>
    <row r="40" spans="1:8" s="40" customFormat="1" ht="18">
      <c r="A40" s="48"/>
      <c r="B40" s="217" t="str">
        <f>IF(G40=G39,"",IF(ISERROR(IF(VLOOKUP($G40,'STARTOVNÍ LISTINA'!$A$8:$E$37,2,0)=0,"",VLOOKUP($G40,'STARTOVNÍ LISTINA'!$A$8:$E$37,2,0)))=TRUE,"",IF(VLOOKUP($G40,'STARTOVNÍ LISTINA'!$A$8:$E$37,2,0)=0,"",VLOOKUP($G40,'STARTOVNÍ LISTINA'!$A$8:$E$37,2,0))))</f>
        <v/>
      </c>
      <c r="C40" s="52" t="str">
        <f>IF(G40=G39,"",IF(ISERROR(IF(VLOOKUP($G40,'STARTOVNÍ LISTINA'!$A$8:$E$37,3,0)=0,"",VLOOKUP($G40,'STARTOVNÍ LISTINA'!$A$8:$E$37,3,0)))=TRUE,"",IF(VLOOKUP($G40,'STARTOVNÍ LISTINA'!$A$8:$E$37,3,0)=0,"",VLOOKUP($G40,'STARTOVNÍ LISTINA'!$A$8:$E$37,3,0))))</f>
        <v/>
      </c>
      <c r="D40" s="51" t="str">
        <f>IF(G40=G39,"",IF(ISERROR(IF(VLOOKUP($G40,'STARTOVNÍ LISTINA'!$A$8:$E$37,4,0)=0,"",VLOOKUP($G40,'STARTOVNÍ LISTINA'!$A$8:$E$37,4,0)))=TRUE,"",IF(VLOOKUP($G40,'STARTOVNÍ LISTINA'!$A$8:$E$37,4,0)=0,"",VLOOKUP($G40,'STARTOVNÍ LISTINA'!$A$8:$E$37,4,0))))</f>
        <v/>
      </c>
      <c r="E40" s="67" t="str">
        <f>IF(G40=G39,"",IF(ISERROR(IF(VLOOKUP($G40,PRAC!$A$8:$L$37,5,0)=0,"",VLOOKUP($G40,PRAC!$A$8:$L$37,5,0)))=TRUE,"",IF(VLOOKUP($G40,PRAC!$A$8:$L$37,5,0)=0,"",VLOOKUP($G40,PRAC!$A$8:$L$37,5,0))))</f>
        <v/>
      </c>
      <c r="F40" s="69" t="str">
        <f>IF(G40=G39,"",IF(ISERROR(IF(VLOOKUP($G40,PRAC!$A$8:$L$37,12,0)=0,0,VLOOKUP($G40,PRAC!$A$8:$L$37,12,0)))=TRUE,"",IF(VLOOKUP($G40,PRAC!$A$8:$L$37,12,0)=0,0,VLOOKUP($G40,PRAC!$A$8:$L$37,12,0))))</f>
        <v/>
      </c>
      <c r="G40" s="65"/>
      <c r="H40" s="39"/>
    </row>
    <row r="41" spans="1:8" s="40" customFormat="1" ht="18">
      <c r="A41" s="48"/>
      <c r="B41" s="217" t="str">
        <f>IF(G41=G40,"",IF(ISERROR(IF(VLOOKUP($G41,'STARTOVNÍ LISTINA'!$A$8:$E$37,2,0)=0,"",VLOOKUP($G41,'STARTOVNÍ LISTINA'!$A$8:$E$37,2,0)))=TRUE,"",IF(VLOOKUP($G41,'STARTOVNÍ LISTINA'!$A$8:$E$37,2,0)=0,"",VLOOKUP($G41,'STARTOVNÍ LISTINA'!$A$8:$E$37,2,0))))</f>
        <v/>
      </c>
      <c r="C41" s="52" t="str">
        <f>IF(G41=G40,"",IF(ISERROR(IF(VLOOKUP($G41,'STARTOVNÍ LISTINA'!$A$8:$E$37,3,0)=0,"",VLOOKUP($G41,'STARTOVNÍ LISTINA'!$A$8:$E$37,3,0)))=TRUE,"",IF(VLOOKUP($G41,'STARTOVNÍ LISTINA'!$A$8:$E$37,3,0)=0,"",VLOOKUP($G41,'STARTOVNÍ LISTINA'!$A$8:$E$37,3,0))))</f>
        <v/>
      </c>
      <c r="D41" s="51" t="str">
        <f>IF(G41=G40,"",IF(ISERROR(IF(VLOOKUP($G41,'STARTOVNÍ LISTINA'!$A$8:$E$37,4,0)=0,"",VLOOKUP($G41,'STARTOVNÍ LISTINA'!$A$8:$E$37,4,0)))=TRUE,"",IF(VLOOKUP($G41,'STARTOVNÍ LISTINA'!$A$8:$E$37,4,0)=0,"",VLOOKUP($G41,'STARTOVNÍ LISTINA'!$A$8:$E$37,4,0))))</f>
        <v/>
      </c>
      <c r="E41" s="67" t="str">
        <f>IF(G41=G40,"",IF(ISERROR(IF(VLOOKUP($G41,PRAC!$A$8:$L$37,5,0)=0,"",VLOOKUP($G41,PRAC!$A$8:$L$37,5,0)))=TRUE,"",IF(VLOOKUP($G41,PRAC!$A$8:$L$37,5,0)=0,"",VLOOKUP($G41,PRAC!$A$8:$L$37,5,0))))</f>
        <v/>
      </c>
      <c r="F41" s="69" t="str">
        <f>IF(G41=G40,"",IF(ISERROR(IF(VLOOKUP($G41,PRAC!$A$8:$L$37,12,0)=0,0,VLOOKUP($G41,PRAC!$A$8:$L$37,12,0)))=TRUE,"",IF(VLOOKUP($G41,PRAC!$A$8:$L$37,12,0)=0,0,VLOOKUP($G41,PRAC!$A$8:$L$37,12,0))))</f>
        <v/>
      </c>
      <c r="G41" s="65"/>
      <c r="H41" s="39"/>
    </row>
    <row r="42" spans="1:8" s="40" customFormat="1" ht="18">
      <c r="A42" s="48"/>
      <c r="B42" s="217" t="str">
        <f>IF(G42=G41,"",IF(ISERROR(IF(VLOOKUP($G42,'STARTOVNÍ LISTINA'!$A$8:$E$37,2,0)=0,"",VLOOKUP($G42,'STARTOVNÍ LISTINA'!$A$8:$E$37,2,0)))=TRUE,"",IF(VLOOKUP($G42,'STARTOVNÍ LISTINA'!$A$8:$E$37,2,0)=0,"",VLOOKUP($G42,'STARTOVNÍ LISTINA'!$A$8:$E$37,2,0))))</f>
        <v/>
      </c>
      <c r="C42" s="52" t="str">
        <f>IF(G42=G41,"",IF(ISERROR(IF(VLOOKUP($G42,'STARTOVNÍ LISTINA'!$A$8:$E$37,3,0)=0,"",VLOOKUP($G42,'STARTOVNÍ LISTINA'!$A$8:$E$37,3,0)))=TRUE,"",IF(VLOOKUP($G42,'STARTOVNÍ LISTINA'!$A$8:$E$37,3,0)=0,"",VLOOKUP($G42,'STARTOVNÍ LISTINA'!$A$8:$E$37,3,0))))</f>
        <v/>
      </c>
      <c r="D42" s="51" t="str">
        <f>IF(G42=G41,"",IF(ISERROR(IF(VLOOKUP($G42,'STARTOVNÍ LISTINA'!$A$8:$E$37,4,0)=0,"",VLOOKUP($G42,'STARTOVNÍ LISTINA'!$A$8:$E$37,4,0)))=TRUE,"",IF(VLOOKUP($G42,'STARTOVNÍ LISTINA'!$A$8:$E$37,4,0)=0,"",VLOOKUP($G42,'STARTOVNÍ LISTINA'!$A$8:$E$37,4,0))))</f>
        <v/>
      </c>
      <c r="E42" s="67" t="str">
        <f>IF(G42=G41,"",IF(ISERROR(IF(VLOOKUP($G42,PRAC!$A$8:$L$37,5,0)=0,"",VLOOKUP($G42,PRAC!$A$8:$L$37,5,0)))=TRUE,"",IF(VLOOKUP($G42,PRAC!$A$8:$L$37,5,0)=0,"",VLOOKUP($G42,PRAC!$A$8:$L$37,5,0))))</f>
        <v/>
      </c>
      <c r="F42" s="69" t="str">
        <f>IF(G42=G41,"",IF(ISERROR(IF(VLOOKUP($G42,PRAC!$A$8:$L$37,12,0)=0,0,VLOOKUP($G42,PRAC!$A$8:$L$37,12,0)))=TRUE,"",IF(VLOOKUP($G42,PRAC!$A$8:$L$37,12,0)=0,0,VLOOKUP($G42,PRAC!$A$8:$L$37,12,0))))</f>
        <v/>
      </c>
      <c r="G42" s="65"/>
      <c r="H42" s="39"/>
    </row>
    <row r="43" spans="1:8" s="40" customFormat="1" ht="18.75" thickBot="1">
      <c r="A43" s="289"/>
      <c r="B43" s="290" t="str">
        <f>IF(G43=G42,"",IF(ISERROR(IF(VLOOKUP($G43,'STARTOVNÍ LISTINA'!$A$8:$E$37,2,0)=0,"",VLOOKUP($G43,'STARTOVNÍ LISTINA'!$A$8:$E$37,2,0)))=TRUE,"",IF(VLOOKUP($G43,'STARTOVNÍ LISTINA'!$A$8:$E$37,2,0)=0,"",VLOOKUP($G43,'STARTOVNÍ LISTINA'!$A$8:$E$37,2,0))))</f>
        <v/>
      </c>
      <c r="C43" s="291" t="str">
        <f>IF(G43=G42,"",IF(ISERROR(IF(VLOOKUP($G43,'STARTOVNÍ LISTINA'!$A$8:$E$37,3,0)=0,"",VLOOKUP($G43,'STARTOVNÍ LISTINA'!$A$8:$E$37,3,0)))=TRUE,"",IF(VLOOKUP($G43,'STARTOVNÍ LISTINA'!$A$8:$E$37,3,0)=0,"",VLOOKUP($G43,'STARTOVNÍ LISTINA'!$A$8:$E$37,3,0))))</f>
        <v/>
      </c>
      <c r="D43" s="292" t="str">
        <f>IF(G43=G42,"",IF(ISERROR(IF(VLOOKUP($G43,'STARTOVNÍ LISTINA'!$A$8:$E$37,4,0)=0,"",VLOOKUP($G43,'STARTOVNÍ LISTINA'!$A$8:$E$37,4,0)))=TRUE,"",IF(VLOOKUP($G43,'STARTOVNÍ LISTINA'!$A$8:$E$37,4,0)=0,"",VLOOKUP($G43,'STARTOVNÍ LISTINA'!$A$8:$E$37,4,0))))</f>
        <v/>
      </c>
      <c r="E43" s="293" t="str">
        <f>IF(G43=G42,"",IF(ISERROR(IF(VLOOKUP($G43,PRAC!$A$8:$L$37,5,0)=0,"",VLOOKUP($G43,PRAC!$A$8:$L$37,5,0)))=TRUE,"",IF(VLOOKUP($G43,PRAC!$A$8:$L$37,5,0)=0,"",VLOOKUP($G43,PRAC!$A$8:$L$37,5,0))))</f>
        <v/>
      </c>
      <c r="F43" s="294" t="str">
        <f>IF(G43=G42,"",IF(ISERROR(IF(VLOOKUP($G43,PRAC!$A$8:$L$37,12,0)=0,0,VLOOKUP($G43,PRAC!$A$8:$L$37,12,0)))=TRUE,"",IF(VLOOKUP($G43,PRAC!$A$8:$L$37,12,0)=0,0,VLOOKUP($G43,PRAC!$A$8:$L$37,12,0))))</f>
        <v/>
      </c>
      <c r="G43" s="295"/>
      <c r="H43" s="39"/>
    </row>
    <row r="44" spans="1:8"/>
    <row r="45" spans="1:8" hidden="1"/>
    <row r="46" spans="1:8" hidden="1"/>
    <row r="47" spans="1:8" hidden="1"/>
    <row r="48" spans="1:8" hidden="1"/>
    <row r="49" spans="9:232" s="33" customFormat="1" hidden="1"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</row>
    <row r="50" spans="9:232" s="33" customFormat="1" hidden="1"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</row>
    <row r="51" spans="9:232" s="33" customFormat="1" hidden="1"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</row>
    <row r="52" spans="9:232" s="33" customFormat="1" hidden="1"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</row>
    <row r="53" spans="9:232" s="33" customFormat="1" hidden="1"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9:232" s="33" customFormat="1" hidden="1"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</row>
    <row r="55" spans="9:232" s="33" customFormat="1" hidden="1"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</row>
    <row r="56" spans="9:232" s="33" customFormat="1" hidden="1"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</row>
    <row r="57" spans="9:232" s="33" customFormat="1" hidden="1"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</row>
    <row r="58" spans="9:232" s="33" customFormat="1" hidden="1"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</row>
    <row r="59" spans="9:232" s="33" customFormat="1" hidden="1"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</row>
    <row r="60" spans="9:232" s="33" customFormat="1" hidden="1"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</row>
    <row r="61" spans="9:232" s="33" customFormat="1" hidden="1"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</row>
    <row r="62" spans="9:232" s="33" customFormat="1" hidden="1"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</row>
    <row r="63" spans="9:232" s="33" customFormat="1" hidden="1"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</row>
    <row r="64" spans="9:232" s="33" customFormat="1" hidden="1"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</row>
    <row r="65" spans="9:232" s="33" customFormat="1" hidden="1"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</row>
    <row r="66" spans="9:232" s="33" customFormat="1" hidden="1"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</row>
    <row r="67" spans="9:232" s="33" customFormat="1" hidden="1"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</row>
    <row r="68" spans="9:232" s="33" customFormat="1" hidden="1"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9:232" s="33" customFormat="1" hidden="1"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</row>
    <row r="70" spans="9:232" s="33" customFormat="1" hidden="1"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</row>
    <row r="71" spans="9:232" s="33" customFormat="1" hidden="1"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</row>
    <row r="72" spans="9:232" ht="15" hidden="1" customHeight="1"/>
    <row r="73" spans="9:232" ht="15" hidden="1" customHeight="1"/>
    <row r="74" spans="9:232" ht="15" hidden="1" customHeight="1"/>
    <row r="75" spans="9:232" ht="15" hidden="1" customHeight="1"/>
    <row r="76" spans="9:232" ht="15" hidden="1" customHeight="1"/>
    <row r="77" spans="9:232" ht="15" hidden="1" customHeight="1"/>
    <row r="78" spans="9:232" ht="15" hidden="1" customHeight="1"/>
    <row r="79" spans="9:232" ht="15" customHeight="1"/>
  </sheetData>
  <sheetProtection selectLockedCells="1"/>
  <phoneticPr fontId="27" type="noConversion"/>
  <conditionalFormatting sqref="E9:E22 E30:E35 E43">
    <cfRule type="expression" dxfId="7" priority="5" stopIfTrue="1">
      <formula>COUNTIF($E$9:$E$37,E9)=2</formula>
    </cfRule>
  </conditionalFormatting>
  <conditionalFormatting sqref="E23:E29">
    <cfRule type="expression" dxfId="6" priority="2" stopIfTrue="1">
      <formula>COUNTIF($E$9:$E$37,E23)=2</formula>
    </cfRule>
  </conditionalFormatting>
  <conditionalFormatting sqref="E36:E42">
    <cfRule type="expression" dxfId="5" priority="1" stopIfTrue="1">
      <formula>COUNTIF($E$9:$E$37,E36)=2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X78"/>
  <sheetViews>
    <sheetView zoomScale="70" zoomScaleNormal="100" workbookViewId="0">
      <selection activeCell="B9" sqref="B9"/>
    </sheetView>
  </sheetViews>
  <sheetFormatPr defaultColWidth="0" defaultRowHeight="15" customHeight="1" zeroHeight="1"/>
  <cols>
    <col min="1" max="1" width="6.21875" style="33" customWidth="1"/>
    <col min="2" max="2" width="38.77734375" style="33" customWidth="1"/>
    <col min="3" max="3" width="22.77734375" style="33" customWidth="1"/>
    <col min="4" max="4" width="20.77734375" style="33" customWidth="1"/>
    <col min="5" max="5" width="8.77734375" style="33" customWidth="1"/>
    <col min="6" max="6" width="7.77734375" style="33" customWidth="1"/>
    <col min="7" max="7" width="7" style="33" customWidth="1"/>
    <col min="8" max="8" width="1.77734375" style="33" customWidth="1"/>
    <col min="9" max="232" width="8.88671875" style="34" hidden="1" customWidth="1"/>
    <col min="233" max="16384" width="0" style="34" hidden="1"/>
  </cols>
  <sheetData>
    <row r="1" spans="1:8" ht="30">
      <c r="A1" s="30" t="s">
        <v>16</v>
      </c>
      <c r="B1" s="31"/>
      <c r="C1" s="31"/>
      <c r="D1" s="31"/>
      <c r="E1" s="31"/>
      <c r="F1" s="31"/>
      <c r="G1" s="32"/>
    </row>
    <row r="2" spans="1:8" ht="30">
      <c r="A2" s="30" t="s">
        <v>82</v>
      </c>
      <c r="B2" s="31"/>
      <c r="C2" s="31"/>
      <c r="D2" s="31"/>
      <c r="E2" s="31"/>
      <c r="F2" s="31"/>
      <c r="G2" s="32"/>
    </row>
    <row r="3" spans="1:8" s="38" customFormat="1" ht="18">
      <c r="A3" s="35" t="s">
        <v>76</v>
      </c>
      <c r="B3" s="35"/>
      <c r="C3" s="35"/>
      <c r="D3" s="35"/>
      <c r="E3" s="35"/>
      <c r="F3" s="35"/>
      <c r="G3" s="36"/>
      <c r="H3" s="37"/>
    </row>
    <row r="4" spans="1:8" s="38" customFormat="1" ht="18">
      <c r="A4" s="35" t="s">
        <v>77</v>
      </c>
      <c r="B4" s="36"/>
      <c r="C4" s="36"/>
      <c r="D4" s="36"/>
      <c r="E4" s="36"/>
      <c r="F4" s="36"/>
      <c r="G4" s="36"/>
      <c r="H4" s="37"/>
    </row>
    <row r="5" spans="1:8" s="40" customFormat="1">
      <c r="A5" s="39"/>
      <c r="B5" s="39"/>
      <c r="C5" s="39"/>
      <c r="D5" s="39"/>
      <c r="E5" s="39"/>
      <c r="F5" s="39"/>
      <c r="G5" s="39"/>
      <c r="H5" s="39"/>
    </row>
    <row r="6" spans="1:8" s="40" customFormat="1">
      <c r="A6" s="41" t="s">
        <v>146</v>
      </c>
      <c r="B6" s="39"/>
      <c r="C6" s="39"/>
      <c r="D6" s="39"/>
      <c r="E6" s="39"/>
      <c r="F6" s="39"/>
      <c r="G6" s="42" t="s">
        <v>145</v>
      </c>
      <c r="H6" s="39"/>
    </row>
    <row r="7" spans="1:8" s="40" customFormat="1" ht="15.75" thickBot="1">
      <c r="A7" s="39"/>
      <c r="B7" s="39"/>
      <c r="C7" s="39"/>
      <c r="D7" s="39"/>
      <c r="E7" s="39"/>
      <c r="F7" s="39"/>
      <c r="G7" s="39"/>
      <c r="H7" s="39"/>
    </row>
    <row r="8" spans="1:8" s="40" customFormat="1" ht="35.1" customHeight="1" thickBot="1">
      <c r="A8" s="43" t="s">
        <v>18</v>
      </c>
      <c r="B8" s="44" t="s">
        <v>1</v>
      </c>
      <c r="C8" s="44" t="s">
        <v>2</v>
      </c>
      <c r="D8" s="45" t="s">
        <v>3</v>
      </c>
      <c r="E8" s="45" t="s">
        <v>5</v>
      </c>
      <c r="F8" s="45" t="s">
        <v>19</v>
      </c>
      <c r="G8" s="46" t="s">
        <v>17</v>
      </c>
      <c r="H8" s="39"/>
    </row>
    <row r="9" spans="1:8" s="194" customFormat="1" ht="20.100000000000001" customHeight="1">
      <c r="A9" s="195">
        <v>1</v>
      </c>
      <c r="B9" s="237" t="str">
        <f>IF(ISERROR(IF(VLOOKUP($G9,'STARTOVNÍ LISTINA'!$A$8:$E$37,2,0)=0,"",VLOOKUP($G9,'STARTOVNÍ LISTINA'!$A$8:$E$37,2,0)))=TRUE,"",IF(VLOOKUP($G9,'STARTOVNÍ LISTINA'!$A$8:$E$37,2,0)=0,"",VLOOKUP($G9,'STARTOVNÍ LISTINA'!$A$8:$E$37,2,0)))</f>
        <v>ŠEJSTAL Radek, prap.</v>
      </c>
      <c r="C9" s="231" t="str">
        <f>IF(ISERROR(IF(VLOOKUP($G9,'STARTOVNÍ LISTINA'!$A$8:$E$37,3,0)=0,"",VLOOKUP($G9,'STARTOVNÍ LISTINA'!$A$8:$E$37,3,0)))=TRUE,"",IF(VLOOKUP($G9,'STARTOVNÍ LISTINA'!$A$8:$E$37,3,0)=0,"",VLOOKUP($G9,'STARTOVNÍ LISTINA'!$A$8:$E$37,3,0)))</f>
        <v>LISTR</v>
      </c>
      <c r="D9" s="232" t="str">
        <f>IF(ISERROR(IF(VLOOKUP($G9,'STARTOVNÍ LISTINA'!$A$8:$E$37,4,0)=0,"",VLOOKUP($G9,'STARTOVNÍ LISTINA'!$A$8:$E$37,4,0)))=TRUE,"",IF(VLOOKUP($G9,'STARTOVNÍ LISTINA'!$A$8:$E$37,4,0)=0,"",VLOOKUP($G9,'STARTOVNÍ LISTINA'!$A$8:$E$37,4,0)))</f>
        <v>KŘP Jihomoravského kraje</v>
      </c>
      <c r="E9" s="240">
        <f>IF(ISERROR(IF(VLOOKUP($G9,PRAC!$A$8:$V$37,14,0)=0,"",VLOOKUP($G9,PRAC!$A$8:$V$37,14,0)))=TRUE,"",IF(VLOOKUP($G9,PRAC!$A$8:$V$37,14,0)=0,"",VLOOKUP($G9,PRAC!$A$8:$V$37,14,0)))</f>
        <v>1.2905092592592593E-3</v>
      </c>
      <c r="F9" s="241" t="str">
        <f>IF(ISERROR(IF(VLOOKUP($G9,PRAC!$A$8:$V$37,21,0)=0,"",VLOOKUP($G9,PRAC!$A$8:$V$37,21,0)))=TRUE,"",IF(VLOOKUP($G9,PRAC!$A$8:$V$37,21,0)=0,"",VLOOKUP($G9,PRAC!$A$8:$V$37,21,0)))</f>
        <v/>
      </c>
      <c r="G9" s="235">
        <f>IF(ISERROR(VLOOKUP(A9,PRAC!$V$8:$Z$37,5,0))=TRUE,"",VLOOKUP(A9,PRAC!$V$8:$Z$37,5,0))</f>
        <v>2</v>
      </c>
      <c r="H9" s="193"/>
    </row>
    <row r="10" spans="1:8" s="194" customFormat="1" ht="20.100000000000001" customHeight="1">
      <c r="A10" s="189">
        <v>2</v>
      </c>
      <c r="B10" s="237" t="str">
        <f>IF(ISERROR(IF(VLOOKUP($G10,'STARTOVNÍ LISTINA'!$A$8:$E$37,2,0)=0,"",VLOOKUP($G10,'STARTOVNÍ LISTINA'!$A$8:$E$37,2,0)))=TRUE,"",IF(VLOOKUP($G10,'STARTOVNÍ LISTINA'!$A$8:$E$37,2,0)=0,"",VLOOKUP($G10,'STARTOVNÍ LISTINA'!$A$8:$E$37,2,0)))</f>
        <v>ZEDNÍČEK Libor, str.</v>
      </c>
      <c r="C10" s="231" t="str">
        <f>IF(ISERROR(IF(VLOOKUP($G10,'STARTOVNÍ LISTINA'!$A$8:$E$37,3,0)=0,"",VLOOKUP($G10,'STARTOVNÍ LISTINA'!$A$8:$E$37,3,0)))=TRUE,"",IF(VLOOKUP($G10,'STARTOVNÍ LISTINA'!$A$8:$E$37,3,0)=0,"",VLOOKUP($G10,'STARTOVNÍ LISTINA'!$A$8:$E$37,3,0)))</f>
        <v>SOLO MACARENA</v>
      </c>
      <c r="D10" s="232" t="str">
        <f>IF(ISERROR(IF(VLOOKUP($G10,'STARTOVNÍ LISTINA'!$A$8:$E$37,4,0)=0,"",VLOOKUP($G10,'STARTOVNÍ LISTINA'!$A$8:$E$37,4,0)))=TRUE,"",IF(VLOOKUP($G10,'STARTOVNÍ LISTINA'!$A$8:$E$37,4,0)=0,"",VLOOKUP($G10,'STARTOVNÍ LISTINA'!$A$8:$E$37,4,0)))</f>
        <v>MP Ostrava</v>
      </c>
      <c r="E10" s="233">
        <f>IF(ISERROR(IF(VLOOKUP($G10,PRAC!$A$8:$V$37,14,0)=0,"",VLOOKUP($G10,PRAC!$A$8:$V$37,14,0)))=TRUE,"",IF(VLOOKUP($G10,PRAC!$A$8:$V$37,14,0)=0,"",VLOOKUP($G10,PRAC!$A$8:$V$37,14,0)))</f>
        <v>1.3046296296296295E-3</v>
      </c>
      <c r="F10" s="234" t="str">
        <f>IF(ISERROR(IF(VLOOKUP($G10,PRAC!$A$8:$V$37,21,0)=0,"",VLOOKUP($G10,PRAC!$A$8:$V$37,21,0)))=TRUE,"",IF(VLOOKUP($G10,PRAC!$A$8:$V$37,21,0)=0,"",VLOOKUP($G10,PRAC!$A$8:$V$37,21,0)))</f>
        <v/>
      </c>
      <c r="G10" s="236">
        <f>IF(ISERROR(VLOOKUP(A10,PRAC!$V$8:$Z$37,5,0))=TRUE,"",VLOOKUP(A10,PRAC!$V$8:$Z$37,5,0))</f>
        <v>18</v>
      </c>
      <c r="H10" s="193"/>
    </row>
    <row r="11" spans="1:8" s="194" customFormat="1" ht="20.100000000000001" customHeight="1">
      <c r="A11" s="189">
        <v>3</v>
      </c>
      <c r="B11" s="237" t="str">
        <f>IF(ISERROR(IF(VLOOKUP($G11,'STARTOVNÍ LISTINA'!$A$8:$E$37,2,0)=0,"",VLOOKUP($G11,'STARTOVNÍ LISTINA'!$A$8:$E$37,2,0)))=TRUE,"",IF(VLOOKUP($G11,'STARTOVNÍ LISTINA'!$A$8:$E$37,2,0)=0,"",VLOOKUP($G11,'STARTOVNÍ LISTINA'!$A$8:$E$37,2,0)))</f>
        <v>BŘEČKA Dalibor, pprap.</v>
      </c>
      <c r="C11" s="231" t="str">
        <f>IF(ISERROR(IF(VLOOKUP($G11,'STARTOVNÍ LISTINA'!$A$8:$E$37,3,0)=0,"",VLOOKUP($G11,'STARTOVNÍ LISTINA'!$A$8:$E$37,3,0)))=TRUE,"",IF(VLOOKUP($G11,'STARTOVNÍ LISTINA'!$A$8:$E$37,3,0)=0,"",VLOOKUP($G11,'STARTOVNÍ LISTINA'!$A$8:$E$37,3,0)))</f>
        <v>TAJFUN</v>
      </c>
      <c r="D11" s="232" t="str">
        <f>IF(ISERROR(IF(VLOOKUP($G11,'STARTOVNÍ LISTINA'!$A$8:$E$37,4,0)=0,"",VLOOKUP($G11,'STARTOVNÍ LISTINA'!$A$8:$E$37,4,0)))=TRUE,"",IF(VLOOKUP($G11,'STARTOVNÍ LISTINA'!$A$8:$E$37,4,0)=0,"",VLOOKUP($G11,'STARTOVNÍ LISTINA'!$A$8:$E$37,4,0)))</f>
        <v>KŘP Zlínského kraje</v>
      </c>
      <c r="E11" s="233">
        <f>IF(ISERROR(IF(VLOOKUP($G11,PRAC!$A$8:$V$37,14,0)=0,"",VLOOKUP($G11,PRAC!$A$8:$V$37,14,0)))=TRUE,"",IF(VLOOKUP($G11,PRAC!$A$8:$V$37,14,0)=0,"",VLOOKUP($G11,PRAC!$A$8:$V$37,14,0)))</f>
        <v>1.3296296296296296E-3</v>
      </c>
      <c r="F11" s="234" t="str">
        <f>IF(ISERROR(IF(VLOOKUP($G11,PRAC!$A$8:$V$37,21,0)=0,"",VLOOKUP($G11,PRAC!$A$8:$V$37,21,0)))=TRUE,"",IF(VLOOKUP($G11,PRAC!$A$8:$V$37,21,0)=0,"",VLOOKUP($G11,PRAC!$A$8:$V$37,21,0)))</f>
        <v/>
      </c>
      <c r="G11" s="236">
        <f>IF(ISERROR(VLOOKUP(A11,PRAC!$V$8:$Z$37,5,0))=TRUE,"",VLOOKUP(A11,PRAC!$V$8:$Z$37,5,0))</f>
        <v>6</v>
      </c>
      <c r="H11" s="193"/>
    </row>
    <row r="12" spans="1:8" s="194" customFormat="1" ht="20.100000000000001" customHeight="1">
      <c r="A12" s="242">
        <v>4</v>
      </c>
      <c r="B12" s="243" t="str">
        <f>IF(ISERROR(IF(VLOOKUP($G12,'STARTOVNÍ LISTINA'!$A$8:$E$37,2,0)=0,"",VLOOKUP($G12,'STARTOVNÍ LISTINA'!$A$8:$E$37,2,0)))=TRUE,"",IF(VLOOKUP($G12,'STARTOVNÍ LISTINA'!$A$8:$E$37,2,0)=0,"",VLOOKUP($G12,'STARTOVNÍ LISTINA'!$A$8:$E$37,2,0)))</f>
        <v>SLEZÁK Michal, nstržm. Ing.</v>
      </c>
      <c r="C12" s="244" t="str">
        <f>IF(ISERROR(IF(VLOOKUP($G12,'STARTOVNÍ LISTINA'!$A$8:$E$37,3,0)=0,"",VLOOKUP($G12,'STARTOVNÍ LISTINA'!$A$8:$E$37,3,0)))=TRUE,"",IF(VLOOKUP($G12,'STARTOVNÍ LISTINA'!$A$8:$E$37,3,0)=0,"",VLOOKUP($G12,'STARTOVNÍ LISTINA'!$A$8:$E$37,3,0)))</f>
        <v>ENRICO</v>
      </c>
      <c r="D12" s="245" t="str">
        <f>IF(ISERROR(IF(VLOOKUP($G12,'STARTOVNÍ LISTINA'!$A$8:$E$37,4,0)=0,"",VLOOKUP($G12,'STARTOVNÍ LISTINA'!$A$8:$E$37,4,0)))=TRUE,"",IF(VLOOKUP($G12,'STARTOVNÍ LISTINA'!$A$8:$E$37,4,0)=0,"",VLOOKUP($G12,'STARTOVNÍ LISTINA'!$A$8:$E$37,4,0)))</f>
        <v>KŘP Jihomoravského kraje</v>
      </c>
      <c r="E12" s="246">
        <f>IF(ISERROR(IF(VLOOKUP($G12,PRAC!$A$8:$V$37,14,0)=0,"",VLOOKUP($G12,PRAC!$A$8:$V$37,14,0)))=TRUE,"",IF(VLOOKUP($G12,PRAC!$A$8:$V$37,14,0)=0,"",VLOOKUP($G12,PRAC!$A$8:$V$37,14,0)))</f>
        <v>1.3516203703703704E-3</v>
      </c>
      <c r="F12" s="247" t="str">
        <f>IF(ISERROR(IF(VLOOKUP($G12,PRAC!$A$8:$V$37,21,0)=0,"",VLOOKUP($G12,PRAC!$A$8:$V$37,21,0)))=TRUE,"",IF(VLOOKUP($G12,PRAC!$A$8:$V$37,21,0)=0,"",VLOOKUP($G12,PRAC!$A$8:$V$37,21,0)))</f>
        <v/>
      </c>
      <c r="G12" s="248">
        <f>IF(ISERROR(VLOOKUP(A12,PRAC!$V$8:$Z$37,5,0))=TRUE,"",VLOOKUP(A12,PRAC!$V$8:$Z$37,5,0))</f>
        <v>1</v>
      </c>
      <c r="H12" s="193"/>
    </row>
    <row r="13" spans="1:8" s="194" customFormat="1" ht="20.100000000000001" customHeight="1">
      <c r="A13" s="242">
        <v>5</v>
      </c>
      <c r="B13" s="243" t="str">
        <f>IF(ISERROR(IF(VLOOKUP($G13,'STARTOVNÍ LISTINA'!$A$8:$E$37,2,0)=0,"",VLOOKUP($G13,'STARTOVNÍ LISTINA'!$A$8:$E$37,2,0)))=TRUE,"",IF(VLOOKUP($G13,'STARTOVNÍ LISTINA'!$A$8:$E$37,2,0)=0,"",VLOOKUP($G13,'STARTOVNÍ LISTINA'!$A$8:$E$37,2,0)))</f>
        <v>OSTŘANSKÁ Renata, nstržm.</v>
      </c>
      <c r="C13" s="244" t="str">
        <f>IF(ISERROR(IF(VLOOKUP($G13,'STARTOVNÍ LISTINA'!$A$8:$E$37,3,0)=0,"",VLOOKUP($G13,'STARTOVNÍ LISTINA'!$A$8:$E$37,3,0)))=TRUE,"",IF(VLOOKUP($G13,'STARTOVNÍ LISTINA'!$A$8:$E$37,3,0)=0,"",VLOOKUP($G13,'STARTOVNÍ LISTINA'!$A$8:$E$37,3,0)))</f>
        <v>VIZIR</v>
      </c>
      <c r="D13" s="245" t="str">
        <f>IF(ISERROR(IF(VLOOKUP($G13,'STARTOVNÍ LISTINA'!$A$8:$E$37,4,0)=0,"",VLOOKUP($G13,'STARTOVNÍ LISTINA'!$A$8:$E$37,4,0)))=TRUE,"",IF(VLOOKUP($G13,'STARTOVNÍ LISTINA'!$A$8:$E$37,4,0)=0,"",VLOOKUP($G13,'STARTOVNÍ LISTINA'!$A$8:$E$37,4,0)))</f>
        <v>KŘP Jihomoravského kraje</v>
      </c>
      <c r="E13" s="246">
        <f>IF(ISERROR(IF(VLOOKUP($G13,PRAC!$A$8:$V$37,14,0)=0,"",VLOOKUP($G13,PRAC!$A$8:$V$37,14,0)))=TRUE,"",IF(VLOOKUP($G13,PRAC!$A$8:$V$37,14,0)=0,"",VLOOKUP($G13,PRAC!$A$8:$V$37,14,0)))</f>
        <v>1.356712962962963E-3</v>
      </c>
      <c r="F13" s="247" t="str">
        <f>IF(ISERROR(IF(VLOOKUP($G13,PRAC!$A$8:$V$37,21,0)=0,"",VLOOKUP($G13,PRAC!$A$8:$V$37,21,0)))=TRUE,"",IF(VLOOKUP($G13,PRAC!$A$8:$V$37,21,0)=0,"",VLOOKUP($G13,PRAC!$A$8:$V$37,21,0)))</f>
        <v/>
      </c>
      <c r="G13" s="248">
        <f>IF(ISERROR(VLOOKUP(A13,PRAC!$V$8:$Z$37,5,0))=TRUE,"",VLOOKUP(A13,PRAC!$V$8:$Z$37,5,0))</f>
        <v>14</v>
      </c>
      <c r="H13" s="193"/>
    </row>
    <row r="14" spans="1:8" s="40" customFormat="1" ht="20.100000000000001" customHeight="1">
      <c r="A14" s="48">
        <v>6</v>
      </c>
      <c r="B14" s="217" t="str">
        <f>IF(ISERROR(IF(VLOOKUP($G14,'STARTOVNÍ LISTINA'!$A$8:$E$37,2,0)=0,"",VLOOKUP($G14,'STARTOVNÍ LISTINA'!$A$8:$E$37,2,0)))=TRUE,"",IF(VLOOKUP($G14,'STARTOVNÍ LISTINA'!$A$8:$E$37,2,0)=0,"",VLOOKUP($G14,'STARTOVNÍ LISTINA'!$A$8:$E$37,2,0)))</f>
        <v>BONK Christin</v>
      </c>
      <c r="C14" s="52" t="str">
        <f>IF(ISERROR(IF(VLOOKUP($G14,'STARTOVNÍ LISTINA'!$A$8:$E$37,3,0)=0,"",VLOOKUP($G14,'STARTOVNÍ LISTINA'!$A$8:$E$37,3,0)))=TRUE,"",IF(VLOOKUP($G14,'STARTOVNÍ LISTINA'!$A$8:$E$37,3,0)=0,"",VLOOKUP($G14,'STARTOVNÍ LISTINA'!$A$8:$E$37,3,0)))</f>
        <v>KRISTAL</v>
      </c>
      <c r="D14" s="51" t="str">
        <f>IF(ISERROR(IF(VLOOKUP($G14,'STARTOVNÍ LISTINA'!$A$8:$E$37,4,0)=0,"",VLOOKUP($G14,'STARTOVNÍ LISTINA'!$A$8:$E$37,4,0)))=TRUE,"",IF(VLOOKUP($G14,'STARTOVNÍ LISTINA'!$A$8:$E$37,4,0)=0,"",VLOOKUP($G14,'STARTOVNÍ LISTINA'!$A$8:$E$37,4,0)))</f>
        <v>NĚMECKO, Sasko</v>
      </c>
      <c r="E14" s="67">
        <f>IF(ISERROR(IF(VLOOKUP($G14,PRAC!$A$8:$V$37,14,0)=0,"",VLOOKUP($G14,PRAC!$A$8:$V$37,14,0)))=TRUE,"",IF(VLOOKUP($G14,PRAC!$A$8:$V$37,14,0)=0,"",VLOOKUP($G14,PRAC!$A$8:$V$37,14,0)))</f>
        <v>1.4612268518518518E-3</v>
      </c>
      <c r="F14" s="69" t="str">
        <f>IF(ISERROR(IF(VLOOKUP($G14,PRAC!$A$8:$V$37,21,0)=0,"",VLOOKUP($G14,PRAC!$A$8:$V$37,21,0)))=TRUE,"",IF(VLOOKUP($G14,PRAC!$A$8:$V$37,21,0)=0,"",VLOOKUP($G14,PRAC!$A$8:$V$37,21,0)))</f>
        <v/>
      </c>
      <c r="G14" s="65">
        <f>IF(ISERROR(VLOOKUP(A14,PRAC!$V$8:$Z$37,5,0))=TRUE,"",VLOOKUP(A14,PRAC!$V$8:$Z$37,5,0))</f>
        <v>13</v>
      </c>
      <c r="H14" s="39"/>
    </row>
    <row r="15" spans="1:8" s="40" customFormat="1" ht="20.100000000000001" customHeight="1">
      <c r="A15" s="48">
        <v>7</v>
      </c>
      <c r="B15" s="217" t="str">
        <f>IF(ISERROR(IF(VLOOKUP($G15,'STARTOVNÍ LISTINA'!$A$8:$E$37,2,0)=0,"",VLOOKUP($G15,'STARTOVNÍ LISTINA'!$A$8:$E$37,2,0)))=TRUE,"",IF(VLOOKUP($G15,'STARTOVNÍ LISTINA'!$A$8:$E$37,2,0)=0,"",VLOOKUP($G15,'STARTOVNÍ LISTINA'!$A$8:$E$37,2,0)))</f>
        <v>VYSLOUŽILOVÁ Martina, pprap.</v>
      </c>
      <c r="C15" s="52" t="str">
        <f>IF(ISERROR(IF(VLOOKUP($G15,'STARTOVNÍ LISTINA'!$A$8:$E$37,3,0)=0,"",VLOOKUP($G15,'STARTOVNÍ LISTINA'!$A$8:$E$37,3,0)))=TRUE,"",IF(VLOOKUP($G15,'STARTOVNÍ LISTINA'!$A$8:$E$37,3,0)=0,"",VLOOKUP($G15,'STARTOVNÍ LISTINA'!$A$8:$E$37,3,0)))</f>
        <v>PRESTIGE</v>
      </c>
      <c r="D15" s="51" t="str">
        <f>IF(ISERROR(IF(VLOOKUP($G15,'STARTOVNÍ LISTINA'!$A$8:$E$37,4,0)=0,"",VLOOKUP($G15,'STARTOVNÍ LISTINA'!$A$8:$E$37,4,0)))=TRUE,"",IF(VLOOKUP($G15,'STARTOVNÍ LISTINA'!$A$8:$E$37,4,0)=0,"",VLOOKUP($G15,'STARTOVNÍ LISTINA'!$A$8:$E$37,4,0)))</f>
        <v>KŘP Jihomoravského kraje</v>
      </c>
      <c r="E15" s="67">
        <f>IF(ISERROR(IF(VLOOKUP($G15,PRAC!$A$8:$V$37,14,0)=0,"",VLOOKUP($G15,PRAC!$A$8:$V$37,14,0)))=TRUE,"",IF(VLOOKUP($G15,PRAC!$A$8:$V$37,14,0)=0,"",VLOOKUP($G15,PRAC!$A$8:$V$37,14,0)))</f>
        <v>1.4290509259259258E-3</v>
      </c>
      <c r="F15" s="69">
        <f>IF(ISERROR(IF(VLOOKUP($G15,PRAC!$A$8:$V$37,21,0)=0,"",VLOOKUP($G15,PRAC!$A$8:$V$37,21,0)))=TRUE,"",IF(VLOOKUP($G15,PRAC!$A$8:$V$37,21,0)=0,"",VLOOKUP($G15,PRAC!$A$8:$V$37,21,0)))</f>
        <v>5</v>
      </c>
      <c r="G15" s="65">
        <f>IF(ISERROR(VLOOKUP(A15,PRAC!$V$8:$Z$37,5,0))=TRUE,"",VLOOKUP(A15,PRAC!$V$8:$Z$37,5,0))</f>
        <v>11</v>
      </c>
      <c r="H15" s="39"/>
    </row>
    <row r="16" spans="1:8" s="40" customFormat="1" ht="20.100000000000001" customHeight="1">
      <c r="A16" s="48">
        <v>8</v>
      </c>
      <c r="B16" s="217" t="str">
        <f>IF(ISERROR(IF(VLOOKUP($G16,'STARTOVNÍ LISTINA'!$A$8:$E$37,2,0)=0,"",VLOOKUP($G16,'STARTOVNÍ LISTINA'!$A$8:$E$37,2,0)))=TRUE,"",IF(VLOOKUP($G16,'STARTOVNÍ LISTINA'!$A$8:$E$37,2,0)=0,"",VLOOKUP($G16,'STARTOVNÍ LISTINA'!$A$8:$E$37,2,0)))</f>
        <v>POKORNÁ Hana, pprap.</v>
      </c>
      <c r="C16" s="52" t="str">
        <f>IF(ISERROR(IF(VLOOKUP($G16,'STARTOVNÍ LISTINA'!$A$8:$E$37,3,0)=0,"",VLOOKUP($G16,'STARTOVNÍ LISTINA'!$A$8:$E$37,3,0)))=TRUE,"",IF(VLOOKUP($G16,'STARTOVNÍ LISTINA'!$A$8:$E$37,3,0)=0,"",VLOOKUP($G16,'STARTOVNÍ LISTINA'!$A$8:$E$37,3,0)))</f>
        <v>HUBERT</v>
      </c>
      <c r="D16" s="51" t="str">
        <f>IF(ISERROR(IF(VLOOKUP($G16,'STARTOVNÍ LISTINA'!$A$8:$E$37,4,0)=0,"",VLOOKUP($G16,'STARTOVNÍ LISTINA'!$A$8:$E$37,4,0)))=TRUE,"",IF(VLOOKUP($G16,'STARTOVNÍ LISTINA'!$A$8:$E$37,4,0)=0,"",VLOOKUP($G16,'STARTOVNÍ LISTINA'!$A$8:$E$37,4,0)))</f>
        <v>KŘP Zlínského kraje</v>
      </c>
      <c r="E16" s="67">
        <f>IF(ISERROR(IF(VLOOKUP($G16,PRAC!$A$8:$V$37,14,0)=0,"",VLOOKUP($G16,PRAC!$A$8:$V$37,14,0)))=TRUE,"",IF(VLOOKUP($G16,PRAC!$A$8:$V$37,14,0)=0,"",VLOOKUP($G16,PRAC!$A$8:$V$37,14,0)))</f>
        <v>1.4887731481481481E-3</v>
      </c>
      <c r="F16" s="69" t="str">
        <f>IF(ISERROR(IF(VLOOKUP($G16,PRAC!$A$8:$V$37,21,0)=0,"",VLOOKUP($G16,PRAC!$A$8:$V$37,21,0)))=TRUE,"",IF(VLOOKUP($G16,PRAC!$A$8:$V$37,21,0)=0,"",VLOOKUP($G16,PRAC!$A$8:$V$37,21,0)))</f>
        <v/>
      </c>
      <c r="G16" s="65">
        <f>IF(ISERROR(VLOOKUP(A16,PRAC!$V$8:$Z$37,5,0))=TRUE,"",VLOOKUP(A16,PRAC!$V$8:$Z$37,5,0))</f>
        <v>8</v>
      </c>
      <c r="H16" s="39"/>
    </row>
    <row r="17" spans="1:8" s="40" customFormat="1" ht="20.100000000000001" customHeight="1">
      <c r="A17" s="48">
        <v>9</v>
      </c>
      <c r="B17" s="217" t="str">
        <f>IF(ISERROR(IF(VLOOKUP($G17,'STARTOVNÍ LISTINA'!$A$8:$E$37,2,0)=0,"",VLOOKUP($G17,'STARTOVNÍ LISTINA'!$A$8:$E$37,2,0)))=TRUE,"",IF(VLOOKUP($G17,'STARTOVNÍ LISTINA'!$A$8:$E$37,2,0)=0,"",VLOOKUP($G17,'STARTOVNÍ LISTINA'!$A$8:$E$37,2,0)))</f>
        <v>JOHN Přemysl, nstržm.</v>
      </c>
      <c r="C17" s="52" t="str">
        <f>IF(ISERROR(IF(VLOOKUP($G17,'STARTOVNÍ LISTINA'!$A$8:$E$37,3,0)=0,"",VLOOKUP($G17,'STARTOVNÍ LISTINA'!$A$8:$E$37,3,0)))=TRUE,"",IF(VLOOKUP($G17,'STARTOVNÍ LISTINA'!$A$8:$E$37,3,0)=0,"",VLOOKUP($G17,'STARTOVNÍ LISTINA'!$A$8:$E$37,3,0)))</f>
        <v>DERWISZ</v>
      </c>
      <c r="D17" s="51" t="str">
        <f>IF(ISERROR(IF(VLOOKUP($G17,'STARTOVNÍ LISTINA'!$A$8:$E$37,4,0)=0,"",VLOOKUP($G17,'STARTOVNÍ LISTINA'!$A$8:$E$37,4,0)))=TRUE,"",IF(VLOOKUP($G17,'STARTOVNÍ LISTINA'!$A$8:$E$37,4,0)=0,"",VLOOKUP($G17,'STARTOVNÍ LISTINA'!$A$8:$E$37,4,0)))</f>
        <v>KŘP Jihomoravského kraje</v>
      </c>
      <c r="E17" s="67">
        <f>IF(ISERROR(IF(VLOOKUP($G17,PRAC!$A$8:$V$37,14,0)=0,"",VLOOKUP($G17,PRAC!$A$8:$V$37,14,0)))=TRUE,"",IF(VLOOKUP($G17,PRAC!$A$8:$V$37,14,0)=0,"",VLOOKUP($G17,PRAC!$A$8:$V$37,14,0)))</f>
        <v>1.404513888888889E-3</v>
      </c>
      <c r="F17" s="69">
        <f>IF(ISERROR(IF(VLOOKUP($G17,PRAC!$A$8:$V$37,21,0)=0,"",VLOOKUP($G17,PRAC!$A$8:$V$37,21,0)))=TRUE,"",IF(VLOOKUP($G17,PRAC!$A$8:$V$37,21,0)=0,"",VLOOKUP($G17,PRAC!$A$8:$V$37,21,0)))</f>
        <v>10</v>
      </c>
      <c r="G17" s="65">
        <f>IF(ISERROR(VLOOKUP(A17,PRAC!$V$8:$Z$37,5,0))=TRUE,"",VLOOKUP(A17,PRAC!$V$8:$Z$37,5,0))</f>
        <v>21</v>
      </c>
      <c r="H17" s="39"/>
    </row>
    <row r="18" spans="1:8" s="40" customFormat="1" ht="20.100000000000001" customHeight="1">
      <c r="A18" s="48">
        <v>10</v>
      </c>
      <c r="B18" s="217" t="str">
        <f>IF(ISERROR(IF(VLOOKUP($G18,'STARTOVNÍ LISTINA'!$A$8:$E$37,2,0)=0,"",VLOOKUP($G18,'STARTOVNÍ LISTINA'!$A$8:$E$37,2,0)))=TRUE,"",IF(VLOOKUP($G18,'STARTOVNÍ LISTINA'!$A$8:$E$37,2,0)=0,"",VLOOKUP($G18,'STARTOVNÍ LISTINA'!$A$8:$E$37,2,0)))</f>
        <v>HORNÍK Martin, str. Ing.</v>
      </c>
      <c r="C18" s="52" t="str">
        <f>IF(ISERROR(IF(VLOOKUP($G18,'STARTOVNÍ LISTINA'!$A$8:$E$37,3,0)=0,"",VLOOKUP($G18,'STARTOVNÍ LISTINA'!$A$8:$E$37,3,0)))=TRUE,"",IF(VLOOKUP($G18,'STARTOVNÍ LISTINA'!$A$8:$E$37,3,0)=0,"",VLOOKUP($G18,'STARTOVNÍ LISTINA'!$A$8:$E$37,3,0)))</f>
        <v>SACRAMOSO XANTA ALBA</v>
      </c>
      <c r="D18" s="51" t="str">
        <f>IF(ISERROR(IF(VLOOKUP($G18,'STARTOVNÍ LISTINA'!$A$8:$E$37,4,0)=0,"",VLOOKUP($G18,'STARTOVNÍ LISTINA'!$A$8:$E$37,4,0)))=TRUE,"",IF(VLOOKUP($G18,'STARTOVNÍ LISTINA'!$A$8:$E$37,4,0)=0,"",VLOOKUP($G18,'STARTOVNÍ LISTINA'!$A$8:$E$37,4,0)))</f>
        <v>MP Praha</v>
      </c>
      <c r="E18" s="67">
        <f>IF(ISERROR(IF(VLOOKUP($G18,PRAC!$A$8:$V$37,14,0)=0,"",VLOOKUP($G18,PRAC!$A$8:$V$37,14,0)))=TRUE,"",IF(VLOOKUP($G18,PRAC!$A$8:$V$37,14,0)=0,"",VLOOKUP($G18,PRAC!$A$8:$V$37,14,0)))</f>
        <v>1.5238425925925925E-3</v>
      </c>
      <c r="F18" s="69" t="str">
        <f>IF(ISERROR(IF(VLOOKUP($G18,PRAC!$A$8:$V$37,21,0)=0,"",VLOOKUP($G18,PRAC!$A$8:$V$37,21,0)))=TRUE,"",IF(VLOOKUP($G18,PRAC!$A$8:$V$37,21,0)=0,"",VLOOKUP($G18,PRAC!$A$8:$V$37,21,0)))</f>
        <v/>
      </c>
      <c r="G18" s="65">
        <f>IF(ISERROR(VLOOKUP(A18,PRAC!$V$8:$Z$37,5,0))=TRUE,"",VLOOKUP(A18,PRAC!$V$8:$Z$37,5,0))</f>
        <v>20</v>
      </c>
      <c r="H18" s="39"/>
    </row>
    <row r="19" spans="1:8" s="40" customFormat="1" ht="20.100000000000001" customHeight="1">
      <c r="A19" s="48">
        <v>11</v>
      </c>
      <c r="B19" s="217" t="str">
        <f>IF(ISERROR(IF(VLOOKUP($G19,'STARTOVNÍ LISTINA'!$A$8:$E$37,2,0)=0,"",VLOOKUP($G19,'STARTOVNÍ LISTINA'!$A$8:$E$37,2,0)))=TRUE,"",IF(VLOOKUP($G19,'STARTOVNÍ LISTINA'!$A$8:$E$37,2,0)=0,"",VLOOKUP($G19,'STARTOVNÍ LISTINA'!$A$8:$E$37,2,0)))</f>
        <v>BUROV Roman</v>
      </c>
      <c r="C19" s="52" t="str">
        <f>IF(ISERROR(IF(VLOOKUP($G19,'STARTOVNÍ LISTINA'!$A$8:$E$37,3,0)=0,"",VLOOKUP($G19,'STARTOVNÍ LISTINA'!$A$8:$E$37,3,0)))=TRUE,"",IF(VLOOKUP($G19,'STARTOVNÍ LISTINA'!$A$8:$E$37,3,0)=0,"",VLOOKUP($G19,'STARTOVNÍ LISTINA'!$A$8:$E$37,3,0)))</f>
        <v>BOSS (KŘP JMK)</v>
      </c>
      <c r="D19" s="51" t="str">
        <f>IF(ISERROR(IF(VLOOKUP($G19,'STARTOVNÍ LISTINA'!$A$8:$E$37,4,0)=0,"",VLOOKUP($G19,'STARTOVNÍ LISTINA'!$A$8:$E$37,4,0)))=TRUE,"",IF(VLOOKUP($G19,'STARTOVNÍ LISTINA'!$A$8:$E$37,4,0)=0,"",VLOOKUP($G19,'STARTOVNÍ LISTINA'!$A$8:$E$37,4,0)))</f>
        <v>RUSKO, Moskva</v>
      </c>
      <c r="E19" s="67">
        <f>IF(ISERROR(IF(VLOOKUP($G19,PRAC!$A$8:$V$37,14,0)=0,"",VLOOKUP($G19,PRAC!$A$8:$V$37,14,0)))=TRUE,"",IF(VLOOKUP($G19,PRAC!$A$8:$V$37,14,0)=0,"",VLOOKUP($G19,PRAC!$A$8:$V$37,14,0)))</f>
        <v>1.6746527777777777E-3</v>
      </c>
      <c r="F19" s="69" t="str">
        <f>IF(ISERROR(IF(VLOOKUP($G19,PRAC!$A$8:$V$37,21,0)=0,"",VLOOKUP($G19,PRAC!$A$8:$V$37,21,0)))=TRUE,"",IF(VLOOKUP($G19,PRAC!$A$8:$V$37,21,0)=0,"",VLOOKUP($G19,PRAC!$A$8:$V$37,21,0)))</f>
        <v/>
      </c>
      <c r="G19" s="65">
        <f>IF(ISERROR(VLOOKUP(A19,PRAC!$V$8:$Z$37,5,0))=TRUE,"",VLOOKUP(A19,PRAC!$V$8:$Z$37,5,0))</f>
        <v>10</v>
      </c>
      <c r="H19" s="39"/>
    </row>
    <row r="20" spans="1:8" s="40" customFormat="1" ht="20.100000000000001" customHeight="1">
      <c r="A20" s="48">
        <v>12</v>
      </c>
      <c r="B20" s="217" t="str">
        <f>IF(ISERROR(IF(VLOOKUP($G20,'STARTOVNÍ LISTINA'!$A$8:$E$37,2,0)=0,"",VLOOKUP($G20,'STARTOVNÍ LISTINA'!$A$8:$E$37,2,0)))=TRUE,"",IF(VLOOKUP($G20,'STARTOVNÍ LISTINA'!$A$8:$E$37,2,0)=0,"",VLOOKUP($G20,'STARTOVNÍ LISTINA'!$A$8:$E$37,2,0)))</f>
        <v>HRADIL Tomáš, pprap.</v>
      </c>
      <c r="C20" s="52" t="str">
        <f>IF(ISERROR(IF(VLOOKUP($G20,'STARTOVNÍ LISTINA'!$A$8:$E$37,3,0)=0,"",VLOOKUP($G20,'STARTOVNÍ LISTINA'!$A$8:$E$37,3,0)))=TRUE,"",IF(VLOOKUP($G20,'STARTOVNÍ LISTINA'!$A$8:$E$37,3,0)=0,"",VLOOKUP($G20,'STARTOVNÍ LISTINA'!$A$8:$E$37,3,0)))</f>
        <v>ŽAGIR</v>
      </c>
      <c r="D20" s="51" t="str">
        <f>IF(ISERROR(IF(VLOOKUP($G20,'STARTOVNÍ LISTINA'!$A$8:$E$37,4,0)=0,"",VLOOKUP($G20,'STARTOVNÍ LISTINA'!$A$8:$E$37,4,0)))=TRUE,"",IF(VLOOKUP($G20,'STARTOVNÍ LISTINA'!$A$8:$E$37,4,0)=0,"",VLOOKUP($G20,'STARTOVNÍ LISTINA'!$A$8:$E$37,4,0)))</f>
        <v>KŘP hlavního města Prahy</v>
      </c>
      <c r="E20" s="67">
        <f>IF(ISERROR(IF(VLOOKUP($G20,PRAC!$A$8:$V$37,14,0)=0,"",VLOOKUP($G20,PRAC!$A$8:$V$37,14,0)))=TRUE,"",IF(VLOOKUP($G20,PRAC!$A$8:$V$37,14,0)=0,"",VLOOKUP($G20,PRAC!$A$8:$V$37,14,0)))</f>
        <v>1.6746527777777777E-3</v>
      </c>
      <c r="F20" s="69">
        <f>IF(ISERROR(IF(VLOOKUP($G20,PRAC!$A$8:$V$37,21,0)=0,"",VLOOKUP($G20,PRAC!$A$8:$V$37,21,0)))=TRUE,"",IF(VLOOKUP($G20,PRAC!$A$8:$V$37,21,0)=0,"",VLOOKUP($G20,PRAC!$A$8:$V$37,21,0)))</f>
        <v>5</v>
      </c>
      <c r="G20" s="65">
        <f>IF(ISERROR(VLOOKUP(A20,PRAC!$V$8:$Z$37,5,0))=TRUE,"",VLOOKUP(A20,PRAC!$V$8:$Z$37,5,0))</f>
        <v>19</v>
      </c>
      <c r="H20" s="39"/>
    </row>
    <row r="21" spans="1:8" s="40" customFormat="1" ht="20.100000000000001" customHeight="1">
      <c r="A21" s="48">
        <v>13</v>
      </c>
      <c r="B21" s="217" t="str">
        <f>IF(ISERROR(IF(VLOOKUP($G21,'STARTOVNÍ LISTINA'!$A$8:$E$37,2,0)=0,"",VLOOKUP($G21,'STARTOVNÍ LISTINA'!$A$8:$E$37,2,0)))=TRUE,"",IF(VLOOKUP($G21,'STARTOVNÍ LISTINA'!$A$8:$E$37,2,0)=0,"",VLOOKUP($G21,'STARTOVNÍ LISTINA'!$A$8:$E$37,2,0)))</f>
        <v>SVOBODA Lukáš, nstržm.</v>
      </c>
      <c r="C21" s="52" t="str">
        <f>IF(ISERROR(IF(VLOOKUP($G21,'STARTOVNÍ LISTINA'!$A$8:$E$37,3,0)=0,"",VLOOKUP($G21,'STARTOVNÍ LISTINA'!$A$8:$E$37,3,0)))=TRUE,"",IF(VLOOKUP($G21,'STARTOVNÍ LISTINA'!$A$8:$E$37,3,0)=0,"",VLOOKUP($G21,'STARTOVNÍ LISTINA'!$A$8:$E$37,3,0)))</f>
        <v>SANTÉ</v>
      </c>
      <c r="D21" s="51" t="str">
        <f>IF(ISERROR(IF(VLOOKUP($G21,'STARTOVNÍ LISTINA'!$A$8:$E$37,4,0)=0,"",VLOOKUP($G21,'STARTOVNÍ LISTINA'!$A$8:$E$37,4,0)))=TRUE,"",IF(VLOOKUP($G21,'STARTOVNÍ LISTINA'!$A$8:$E$37,4,0)=0,"",VLOOKUP($G21,'STARTOVNÍ LISTINA'!$A$8:$E$37,4,0)))</f>
        <v>KŘP hlavního města Prahy</v>
      </c>
      <c r="E21" s="67">
        <f>IF(ISERROR(IF(VLOOKUP($G21,PRAC!$A$8:$V$37,14,0)=0,"",VLOOKUP($G21,PRAC!$A$8:$V$37,14,0)))=TRUE,"",IF(VLOOKUP($G21,PRAC!$A$8:$V$37,14,0)=0,"",VLOOKUP($G21,PRAC!$A$8:$V$37,14,0)))</f>
        <v>1.6586805555555556E-3</v>
      </c>
      <c r="F21" s="69">
        <f>IF(ISERROR(IF(VLOOKUP($G21,PRAC!$A$8:$V$37,21,0)=0,"",VLOOKUP($G21,PRAC!$A$8:$V$37,21,0)))=TRUE,"",IF(VLOOKUP($G21,PRAC!$A$8:$V$37,21,0)=0,"",VLOOKUP($G21,PRAC!$A$8:$V$37,21,0)))</f>
        <v>20</v>
      </c>
      <c r="G21" s="65">
        <f>IF(ISERROR(VLOOKUP(A21,PRAC!$V$8:$Z$37,5,0))=TRUE,"",VLOOKUP(A21,PRAC!$V$8:$Z$37,5,0))</f>
        <v>17</v>
      </c>
      <c r="H21" s="39"/>
    </row>
    <row r="22" spans="1:8" s="40" customFormat="1" ht="20.100000000000001" customHeight="1">
      <c r="A22" s="48">
        <v>14</v>
      </c>
      <c r="B22" s="217" t="str">
        <f>IF(ISERROR(IF(VLOOKUP($G22,'STARTOVNÍ LISTINA'!$A$8:$E$37,2,0)=0,"",VLOOKUP($G22,'STARTOVNÍ LISTINA'!$A$8:$E$37,2,0)))=TRUE,"",IF(VLOOKUP($G22,'STARTOVNÍ LISTINA'!$A$8:$E$37,2,0)=0,"",VLOOKUP($G22,'STARTOVNÍ LISTINA'!$A$8:$E$37,2,0)))</f>
        <v>SZIVACKI Joszef Tibor</v>
      </c>
      <c r="C22" s="52" t="str">
        <f>IF(ISERROR(IF(VLOOKUP($G22,'STARTOVNÍ LISTINA'!$A$8:$E$37,3,0)=0,"",VLOOKUP($G22,'STARTOVNÍ LISTINA'!$A$8:$E$37,3,0)))=TRUE,"",IF(VLOOKUP($G22,'STARTOVNÍ LISTINA'!$A$8:$E$37,3,0)=0,"",VLOOKUP($G22,'STARTOVNÍ LISTINA'!$A$8:$E$37,3,0)))</f>
        <v>VELÚR</v>
      </c>
      <c r="D22" s="51" t="str">
        <f>IF(ISERROR(IF(VLOOKUP($G22,'STARTOVNÍ LISTINA'!$A$8:$E$37,4,0)=0,"",VLOOKUP($G22,'STARTOVNÍ LISTINA'!$A$8:$E$37,4,0)))=TRUE,"",IF(VLOOKUP($G22,'STARTOVNÍ LISTINA'!$A$8:$E$37,4,0)=0,"",VLOOKUP($G22,'STARTOVNÍ LISTINA'!$A$8:$E$37,4,0)))</f>
        <v>MAĎARSKO</v>
      </c>
      <c r="E22" s="67">
        <f>IF(ISERROR(IF(VLOOKUP($G22,PRAC!$A$8:$V$37,14,0)=0,"",VLOOKUP($G22,PRAC!$A$8:$V$37,14,0)))=TRUE,"",IF(VLOOKUP($G22,PRAC!$A$8:$V$37,14,0)=0,"",VLOOKUP($G22,PRAC!$A$8:$V$37,14,0)))</f>
        <v>1.8269675925925927E-3</v>
      </c>
      <c r="F22" s="69">
        <f>IF(ISERROR(IF(VLOOKUP($G22,PRAC!$A$8:$V$37,21,0)=0,"",VLOOKUP($G22,PRAC!$A$8:$V$37,21,0)))=TRUE,"",IF(VLOOKUP($G22,PRAC!$A$8:$V$37,21,0)=0,"",VLOOKUP($G22,PRAC!$A$8:$V$37,21,0)))</f>
        <v>7</v>
      </c>
      <c r="G22" s="65">
        <f>IF(ISERROR(VLOOKUP(A22,PRAC!$V$8:$Z$37,5,0))=TRUE,"",VLOOKUP(A22,PRAC!$V$8:$Z$37,5,0))</f>
        <v>3</v>
      </c>
      <c r="H22" s="39"/>
    </row>
    <row r="23" spans="1:8" s="40" customFormat="1" ht="20.100000000000001" customHeight="1">
      <c r="A23" s="48">
        <v>15</v>
      </c>
      <c r="B23" s="217" t="str">
        <f>IF(ISERROR(IF(VLOOKUP($G23,'STARTOVNÍ LISTINA'!$A$8:$E$37,2,0)=0,"",VLOOKUP($G23,'STARTOVNÍ LISTINA'!$A$8:$E$37,2,0)))=TRUE,"",IF(VLOOKUP($G23,'STARTOVNÍ LISTINA'!$A$8:$E$37,2,0)=0,"",VLOOKUP($G23,'STARTOVNÍ LISTINA'!$A$8:$E$37,2,0)))</f>
        <v>NOVÁK Tomáš, str.</v>
      </c>
      <c r="C23" s="52" t="str">
        <f>IF(ISERROR(IF(VLOOKUP($G23,'STARTOVNÍ LISTINA'!$A$8:$E$37,3,0)=0,"",VLOOKUP($G23,'STARTOVNÍ LISTINA'!$A$8:$E$37,3,0)))=TRUE,"",IF(VLOOKUP($G23,'STARTOVNÍ LISTINA'!$A$8:$E$37,3,0)=0,"",VLOOKUP($G23,'STARTOVNÍ LISTINA'!$A$8:$E$37,3,0)))</f>
        <v>SOLO PANDORA</v>
      </c>
      <c r="D23" s="51" t="str">
        <f>IF(ISERROR(IF(VLOOKUP($G23,'STARTOVNÍ LISTINA'!$A$8:$E$37,4,0)=0,"",VLOOKUP($G23,'STARTOVNÍ LISTINA'!$A$8:$E$37,4,0)))=TRUE,"",IF(VLOOKUP($G23,'STARTOVNÍ LISTINA'!$A$8:$E$37,4,0)=0,"",VLOOKUP($G23,'STARTOVNÍ LISTINA'!$A$8:$E$37,4,0)))</f>
        <v>MP Ostrava</v>
      </c>
      <c r="E23" s="67">
        <f>IF(ISERROR(IF(VLOOKUP($G23,PRAC!$A$8:$V$37,14,0)=0,"",VLOOKUP($G23,PRAC!$A$8:$V$37,14,0)))=TRUE,"",IF(VLOOKUP($G23,PRAC!$A$8:$V$37,14,0)=0,"",VLOOKUP($G23,PRAC!$A$8:$V$37,14,0)))</f>
        <v>1.6847222222222222E-3</v>
      </c>
      <c r="F23" s="69">
        <f>IF(ISERROR(IF(VLOOKUP($G23,PRAC!$A$8:$V$37,21,0)=0,"",VLOOKUP($G23,PRAC!$A$8:$V$37,21,0)))=TRUE,"",IF(VLOOKUP($G23,PRAC!$A$8:$V$37,21,0)=0,"",VLOOKUP($G23,PRAC!$A$8:$V$37,21,0)))</f>
        <v>25</v>
      </c>
      <c r="G23" s="65">
        <f>IF(ISERROR(VLOOKUP(A23,PRAC!$V$8:$Z$37,5,0))=TRUE,"",VLOOKUP(A23,PRAC!$V$8:$Z$37,5,0))</f>
        <v>7</v>
      </c>
      <c r="H23" s="39"/>
    </row>
    <row r="24" spans="1:8" s="40" customFormat="1" ht="20.100000000000001" customHeight="1">
      <c r="A24" s="48">
        <v>16</v>
      </c>
      <c r="B24" s="217" t="str">
        <f>IF(ISERROR(IF(VLOOKUP($G24,'STARTOVNÍ LISTINA'!$A$8:$E$37,2,0)=0,"",VLOOKUP($G24,'STARTOVNÍ LISTINA'!$A$8:$E$37,2,0)))=TRUE,"",IF(VLOOKUP($G24,'STARTOVNÍ LISTINA'!$A$8:$E$37,2,0)=0,"",VLOOKUP($G24,'STARTOVNÍ LISTINA'!$A$8:$E$37,2,0)))</f>
        <v>PILKO Stephan</v>
      </c>
      <c r="C24" s="52" t="str">
        <f>IF(ISERROR(IF(VLOOKUP($G24,'STARTOVNÍ LISTINA'!$A$8:$E$37,3,0)=0,"",VLOOKUP($G24,'STARTOVNÍ LISTINA'!$A$8:$E$37,3,0)))=TRUE,"",IF(VLOOKUP($G24,'STARTOVNÍ LISTINA'!$A$8:$E$37,3,0)=0,"",VLOOKUP($G24,'STARTOVNÍ LISTINA'!$A$8:$E$37,3,0)))</f>
        <v>QUICK STEP</v>
      </c>
      <c r="D24" s="51" t="str">
        <f>IF(ISERROR(IF(VLOOKUP($G24,'STARTOVNÍ LISTINA'!$A$8:$E$37,4,0)=0,"",VLOOKUP($G24,'STARTOVNÍ LISTINA'!$A$8:$E$37,4,0)))=TRUE,"",IF(VLOOKUP($G24,'STARTOVNÍ LISTINA'!$A$8:$E$37,4,0)=0,"",VLOOKUP($G24,'STARTOVNÍ LISTINA'!$A$8:$E$37,4,0)))</f>
        <v>NĚMECKO, Sasko</v>
      </c>
      <c r="E24" s="67">
        <f>IF(ISERROR(IF(VLOOKUP($G24,PRAC!$A$8:$V$37,14,0)=0,"",VLOOKUP($G24,PRAC!$A$8:$V$37,14,0)))=TRUE,"",IF(VLOOKUP($G24,PRAC!$A$8:$V$37,14,0)=0,"",VLOOKUP($G24,PRAC!$A$8:$V$37,14,0)))</f>
        <v>1.8814814814814814E-3</v>
      </c>
      <c r="F24" s="69">
        <f>IF(ISERROR(IF(VLOOKUP($G24,PRAC!$A$8:$V$37,21,0)=0,"",VLOOKUP($G24,PRAC!$A$8:$V$37,21,0)))=TRUE,"",IF(VLOOKUP($G24,PRAC!$A$8:$V$37,21,0)=0,"",VLOOKUP($G24,PRAC!$A$8:$V$37,21,0)))</f>
        <v>22</v>
      </c>
      <c r="G24" s="65">
        <f>IF(ISERROR(VLOOKUP(A24,PRAC!$V$8:$Z$37,5,0))=TRUE,"",VLOOKUP(A24,PRAC!$V$8:$Z$37,5,0))</f>
        <v>16</v>
      </c>
      <c r="H24" s="39"/>
    </row>
    <row r="25" spans="1:8" s="40" customFormat="1" ht="20.100000000000001" customHeight="1">
      <c r="A25" s="48">
        <v>17</v>
      </c>
      <c r="B25" s="217" t="str">
        <f>IF(ISERROR(IF(VLOOKUP($G25,'STARTOVNÍ LISTINA'!$A$8:$E$37,2,0)=0,"",VLOOKUP($G25,'STARTOVNÍ LISTINA'!$A$8:$E$37,2,0)))=TRUE,"",IF(VLOOKUP($G25,'STARTOVNÍ LISTINA'!$A$8:$E$37,2,0)=0,"",VLOOKUP($G25,'STARTOVNÍ LISTINA'!$A$8:$E$37,2,0)))</f>
        <v>ZGOLA Marián, ppráp.</v>
      </c>
      <c r="C25" s="52" t="str">
        <f>IF(ISERROR(IF(VLOOKUP($G25,'STARTOVNÍ LISTINA'!$A$8:$E$37,3,0)=0,"",VLOOKUP($G25,'STARTOVNÍ LISTINA'!$A$8:$E$37,3,0)))=TRUE,"",IF(VLOOKUP($G25,'STARTOVNÍ LISTINA'!$A$8:$E$37,3,0)=0,"",VLOOKUP($G25,'STARTOVNÍ LISTINA'!$A$8:$E$37,3,0)))</f>
        <v>LAPAZ 21</v>
      </c>
      <c r="D25" s="51" t="str">
        <f>IF(ISERROR(IF(VLOOKUP($G25,'STARTOVNÍ LISTINA'!$A$8:$E$37,4,0)=0,"",VLOOKUP($G25,'STARTOVNÍ LISTINA'!$A$8:$E$37,4,0)))=TRUE,"",IF(VLOOKUP($G25,'STARTOVNÍ LISTINA'!$A$8:$E$37,4,0)=0,"",VLOOKUP($G25,'STARTOVNÍ LISTINA'!$A$8:$E$37,4,0)))</f>
        <v>SLOVENSKO, Košice</v>
      </c>
      <c r="E25" s="67">
        <f>IF(ISERROR(IF(VLOOKUP($G25,PRAC!$A$8:$V$37,14,0)=0,"",VLOOKUP($G25,PRAC!$A$8:$V$37,14,0)))=TRUE,"",IF(VLOOKUP($G25,PRAC!$A$8:$V$37,14,0)=0,"",VLOOKUP($G25,PRAC!$A$8:$V$37,14,0)))</f>
        <v>1.9481481481481483E-3</v>
      </c>
      <c r="F25" s="69">
        <f>IF(ISERROR(IF(VLOOKUP($G25,PRAC!$A$8:$V$37,21,0)=0,"",VLOOKUP($G25,PRAC!$A$8:$V$37,21,0)))=TRUE,"",IF(VLOOKUP($G25,PRAC!$A$8:$V$37,21,0)=0,"",VLOOKUP($G25,PRAC!$A$8:$V$37,21,0)))</f>
        <v>18</v>
      </c>
      <c r="G25" s="65">
        <f>IF(ISERROR(VLOOKUP(A25,PRAC!$V$8:$Z$37,5,0))=TRUE,"",VLOOKUP(A25,PRAC!$V$8:$Z$37,5,0))</f>
        <v>4</v>
      </c>
      <c r="H25" s="39"/>
    </row>
    <row r="26" spans="1:8" s="40" customFormat="1" ht="20.100000000000001" customHeight="1">
      <c r="A26" s="48">
        <v>18</v>
      </c>
      <c r="B26" s="217" t="str">
        <f>IF(ISERROR(IF(VLOOKUP($G26,'STARTOVNÍ LISTINA'!$A$8:$E$37,2,0)=0,"",VLOOKUP($G26,'STARTOVNÍ LISTINA'!$A$8:$E$37,2,0)))=TRUE,"",IF(VLOOKUP($G26,'STARTOVNÍ LISTINA'!$A$8:$E$37,2,0)=0,"",VLOOKUP($G26,'STARTOVNÍ LISTINA'!$A$8:$E$37,2,0)))</f>
        <v>TRNKOVÁ Simona, str.</v>
      </c>
      <c r="C26" s="52" t="str">
        <f>IF(ISERROR(IF(VLOOKUP($G26,'STARTOVNÍ LISTINA'!$A$8:$E$37,3,0)=0,"",VLOOKUP($G26,'STARTOVNÍ LISTINA'!$A$8:$E$37,3,0)))=TRUE,"",IF(VLOOKUP($G26,'STARTOVNÍ LISTINA'!$A$8:$E$37,3,0)=0,"",VLOOKUP($G26,'STARTOVNÍ LISTINA'!$A$8:$E$37,3,0)))</f>
        <v>SOLO XALA</v>
      </c>
      <c r="D26" s="51" t="str">
        <f>IF(ISERROR(IF(VLOOKUP($G26,'STARTOVNÍ LISTINA'!$A$8:$E$37,4,0)=0,"",VLOOKUP($G26,'STARTOVNÍ LISTINA'!$A$8:$E$37,4,0)))=TRUE,"",IF(VLOOKUP($G26,'STARTOVNÍ LISTINA'!$A$8:$E$37,4,0)=0,"",VLOOKUP($G26,'STARTOVNÍ LISTINA'!$A$8:$E$37,4,0)))</f>
        <v>MP Praha</v>
      </c>
      <c r="E26" s="67">
        <f>IF(ISERROR(IF(VLOOKUP($G26,PRAC!$A$8:$V$37,14,0)=0,"",VLOOKUP($G26,PRAC!$A$8:$V$37,14,0)))=TRUE,"",IF(VLOOKUP($G26,PRAC!$A$8:$V$37,14,0)=0,"",VLOOKUP($G26,PRAC!$A$8:$V$37,14,0)))</f>
        <v>2.0254629629629629E-3</v>
      </c>
      <c r="F26" s="69">
        <f>IF(ISERROR(IF(VLOOKUP($G26,PRAC!$A$8:$V$37,21,0)=0,"",VLOOKUP($G26,PRAC!$A$8:$V$37,21,0)))=TRUE,"",IF(VLOOKUP($G26,PRAC!$A$8:$V$37,21,0)=0,"",VLOOKUP($G26,PRAC!$A$8:$V$37,21,0)))</f>
        <v>85</v>
      </c>
      <c r="G26" s="65">
        <f>IF(ISERROR(VLOOKUP(A26,PRAC!$V$8:$Z$37,5,0))=TRUE,"",VLOOKUP(A26,PRAC!$V$8:$Z$37,5,0))</f>
        <v>12</v>
      </c>
      <c r="H26" s="39"/>
    </row>
    <row r="27" spans="1:8" s="40" customFormat="1" ht="20.100000000000001" customHeight="1">
      <c r="A27" s="48">
        <v>19</v>
      </c>
      <c r="B27" s="217" t="str">
        <f>IF(ISERROR(IF(VLOOKUP($G27,'STARTOVNÍ LISTINA'!$A$8:$E$37,2,0)=0,"",VLOOKUP($G27,'STARTOVNÍ LISTINA'!$A$8:$E$37,2,0)))=TRUE,"",IF(VLOOKUP($G27,'STARTOVNÍ LISTINA'!$A$8:$E$37,2,0)=0,"",VLOOKUP($G27,'STARTOVNÍ LISTINA'!$A$8:$E$37,2,0)))</f>
        <v>KUROPATNICKÁ Zuzana, nstržm.</v>
      </c>
      <c r="C27" s="52" t="str">
        <f>IF(ISERROR(IF(VLOOKUP($G27,'STARTOVNÍ LISTINA'!$A$8:$E$37,3,0)=0,"",VLOOKUP($G27,'STARTOVNÍ LISTINA'!$A$8:$E$37,3,0)))=TRUE,"",IF(VLOOKUP($G27,'STARTOVNÍ LISTINA'!$A$8:$E$37,3,0)=0,"",VLOOKUP($G27,'STARTOVNÍ LISTINA'!$A$8:$E$37,3,0)))</f>
        <v>CASSIUS</v>
      </c>
      <c r="D27" s="51" t="str">
        <f>IF(ISERROR(IF(VLOOKUP($G27,'STARTOVNÍ LISTINA'!$A$8:$E$37,4,0)=0,"",VLOOKUP($G27,'STARTOVNÍ LISTINA'!$A$8:$E$37,4,0)))=TRUE,"",IF(VLOOKUP($G27,'STARTOVNÍ LISTINA'!$A$8:$E$37,4,0)=0,"",VLOOKUP($G27,'STARTOVNÍ LISTINA'!$A$8:$E$37,4,0)))</f>
        <v>KŘP hlavního města Prahy</v>
      </c>
      <c r="E27" s="67">
        <f>IF(ISERROR(IF(VLOOKUP($G27,PRAC!$A$8:$V$37,14,0)=0,"",VLOOKUP($G27,PRAC!$A$8:$V$37,14,0)))=TRUE,"",IF(VLOOKUP($G27,PRAC!$A$8:$V$37,14,0)=0,"",VLOOKUP($G27,PRAC!$A$8:$V$37,14,0)))</f>
        <v>2.2123842592592594E-3</v>
      </c>
      <c r="F27" s="69">
        <f>IF(ISERROR(IF(VLOOKUP($G27,PRAC!$A$8:$V$37,21,0)=0,"",VLOOKUP($G27,PRAC!$A$8:$V$37,21,0)))=TRUE,"",IF(VLOOKUP($G27,PRAC!$A$8:$V$37,21,0)=0,"",VLOOKUP($G27,PRAC!$A$8:$V$37,21,0)))</f>
        <v>71</v>
      </c>
      <c r="G27" s="65">
        <f>IF(ISERROR(VLOOKUP(A27,PRAC!$V$8:$Z$37,5,0))=TRUE,"",VLOOKUP(A27,PRAC!$V$8:$Z$37,5,0))</f>
        <v>9</v>
      </c>
      <c r="H27" s="39"/>
    </row>
    <row r="28" spans="1:8" s="40" customFormat="1" ht="20.100000000000001" customHeight="1">
      <c r="A28" s="48">
        <v>20</v>
      </c>
      <c r="B28" s="217" t="str">
        <f>IF(ISERROR(IF(VLOOKUP($G28,'STARTOVNÍ LISTINA'!$A$8:$E$37,2,0)=0,"",VLOOKUP($G28,'STARTOVNÍ LISTINA'!$A$8:$E$37,2,0)))=TRUE,"",IF(VLOOKUP($G28,'STARTOVNÍ LISTINA'!$A$8:$E$37,2,0)=0,"",VLOOKUP($G28,'STARTOVNÍ LISTINA'!$A$8:$E$37,2,0)))</f>
        <v>GASPÁR György</v>
      </c>
      <c r="C28" s="52" t="str">
        <f>IF(ISERROR(IF(VLOOKUP($G28,'STARTOVNÍ LISTINA'!$A$8:$E$37,3,0)=0,"",VLOOKUP($G28,'STARTOVNÍ LISTINA'!$A$8:$E$37,3,0)))=TRUE,"",IF(VLOOKUP($G28,'STARTOVNÍ LISTINA'!$A$8:$E$37,3,0)=0,"",VLOOKUP($G28,'STARTOVNÍ LISTINA'!$A$8:$E$37,3,0)))</f>
        <v>RUBIN</v>
      </c>
      <c r="D28" s="51" t="str">
        <f>IF(ISERROR(IF(VLOOKUP($G28,'STARTOVNÍ LISTINA'!$A$8:$E$37,4,0)=0,"",VLOOKUP($G28,'STARTOVNÍ LISTINA'!$A$8:$E$37,4,0)))=TRUE,"",IF(VLOOKUP($G28,'STARTOVNÍ LISTINA'!$A$8:$E$37,4,0)=0,"",VLOOKUP($G28,'STARTOVNÍ LISTINA'!$A$8:$E$37,4,0)))</f>
        <v>MAĎARSKO</v>
      </c>
      <c r="E28" s="67">
        <f>IF(ISERROR(IF(VLOOKUP($G28,PRAC!$A$8:$V$37,14,0)=0,"",VLOOKUP($G28,PRAC!$A$8:$V$37,14,0)))=TRUE,"",IF(VLOOKUP($G28,PRAC!$A$8:$V$37,14,0)=0,"",VLOOKUP($G28,PRAC!$A$8:$V$37,14,0)))</f>
        <v>2.3137731481481481E-3</v>
      </c>
      <c r="F28" s="69">
        <f>IF(ISERROR(IF(VLOOKUP($G28,PRAC!$A$8:$V$37,21,0)=0,"",VLOOKUP($G28,PRAC!$A$8:$V$37,21,0)))=TRUE,"",IF(VLOOKUP($G28,PRAC!$A$8:$V$37,21,0)=0,"",VLOOKUP($G28,PRAC!$A$8:$V$37,21,0)))</f>
        <v>99</v>
      </c>
      <c r="G28" s="65">
        <f>IF(ISERROR(VLOOKUP(A28,PRAC!$V$8:$Z$37,5,0))=TRUE,"",VLOOKUP(A28,PRAC!$V$8:$Z$37,5,0))</f>
        <v>5</v>
      </c>
      <c r="H28" s="39"/>
    </row>
    <row r="29" spans="1:8" s="40" customFormat="1" ht="20.100000000000001" customHeight="1">
      <c r="A29" s="48">
        <v>21</v>
      </c>
      <c r="B29" s="217" t="str">
        <f>IF(ISERROR(IF(VLOOKUP($G29,'STARTOVNÍ LISTINA'!$A$8:$E$37,2,0)=0,"",VLOOKUP($G29,'STARTOVNÍ LISTINA'!$A$8:$E$37,2,0)))=TRUE,"",IF(VLOOKUP($G29,'STARTOVNÍ LISTINA'!$A$8:$E$37,2,0)=0,"",VLOOKUP($G29,'STARTOVNÍ LISTINA'!$A$8:$E$37,2,0)))</f>
        <v>PETROVIČ Zbyněk, str.</v>
      </c>
      <c r="C29" s="52" t="str">
        <f>IF(ISERROR(IF(VLOOKUP($G29,'STARTOVNÍ LISTINA'!$A$8:$E$37,3,0)=0,"",VLOOKUP($G29,'STARTOVNÍ LISTINA'!$A$8:$E$37,3,0)))=TRUE,"",IF(VLOOKUP($G29,'STARTOVNÍ LISTINA'!$A$8:$E$37,3,0)=0,"",VLOOKUP($G29,'STARTOVNÍ LISTINA'!$A$8:$E$37,3,0)))</f>
        <v>ROMKE FAVIDA</v>
      </c>
      <c r="D29" s="51" t="str">
        <f>IF(ISERROR(IF(VLOOKUP($G29,'STARTOVNÍ LISTINA'!$A$8:$E$37,4,0)=0,"",VLOOKUP($G29,'STARTOVNÍ LISTINA'!$A$8:$E$37,4,0)))=TRUE,"",IF(VLOOKUP($G29,'STARTOVNÍ LISTINA'!$A$8:$E$37,4,0)=0,"",VLOOKUP($G29,'STARTOVNÍ LISTINA'!$A$8:$E$37,4,0)))</f>
        <v>MP Praha</v>
      </c>
      <c r="E29" s="67">
        <f>IF(ISERROR(IF(VLOOKUP($G29,PRAC!$A$8:$V$37,14,0)=0,"",VLOOKUP($G29,PRAC!$A$8:$V$37,14,0)))=TRUE,"",IF(VLOOKUP($G29,PRAC!$A$8:$V$37,14,0)=0,"",VLOOKUP($G29,PRAC!$A$8:$V$37,14,0)))</f>
        <v>2.5626157407407407E-3</v>
      </c>
      <c r="F29" s="69">
        <f>IF(ISERROR(IF(VLOOKUP($G29,PRAC!$A$8:$V$37,21,0)=0,"",VLOOKUP($G29,PRAC!$A$8:$V$37,21,0)))=TRUE,"",IF(VLOOKUP($G29,PRAC!$A$8:$V$37,21,0)=0,"",VLOOKUP($G29,PRAC!$A$8:$V$37,21,0)))</f>
        <v>136</v>
      </c>
      <c r="G29" s="65">
        <f>IF(ISERROR(VLOOKUP(A29,PRAC!$V$8:$Z$37,5,0))=TRUE,"",VLOOKUP(A29,PRAC!$V$8:$Z$37,5,0))</f>
        <v>15</v>
      </c>
      <c r="H29" s="39"/>
    </row>
    <row r="30" spans="1:8" s="40" customFormat="1" ht="20.100000000000001" customHeight="1">
      <c r="A30" s="48">
        <v>22</v>
      </c>
      <c r="B30" s="217" t="str">
        <f>IF(ISERROR(IF(VLOOKUP($G30,'STARTOVNÍ LISTINA'!$A$8:$E$37,2,0)=0,"",VLOOKUP($G30,'STARTOVNÍ LISTINA'!$A$8:$E$37,2,0)))=TRUE,"",IF(VLOOKUP($G30,'STARTOVNÍ LISTINA'!$A$8:$E$37,2,0)=0,"",VLOOKUP($G30,'STARTOVNÍ LISTINA'!$A$8:$E$37,2,0)))</f>
        <v>NOVÁ Ladislava, str.</v>
      </c>
      <c r="C30" s="52" t="str">
        <f>IF(ISERROR(IF(VLOOKUP($G30,'STARTOVNÍ LISTINA'!$A$8:$E$37,3,0)=0,"",VLOOKUP($G30,'STARTOVNÍ LISTINA'!$A$8:$E$37,3,0)))=TRUE,"",IF(VLOOKUP($G30,'STARTOVNÍ LISTINA'!$A$8:$E$37,3,0)=0,"",VLOOKUP($G30,'STARTOVNÍ LISTINA'!$A$8:$E$37,3,0)))</f>
        <v>SOLO MATERA</v>
      </c>
      <c r="D30" s="51" t="str">
        <f>IF(ISERROR(IF(VLOOKUP($G30,'STARTOVNÍ LISTINA'!$A$8:$E$37,4,0)=0,"",VLOOKUP($G30,'STARTOVNÍ LISTINA'!$A$8:$E$37,4,0)))=TRUE,"",IF(VLOOKUP($G30,'STARTOVNÍ LISTINA'!$A$8:$E$37,4,0)=0,"",VLOOKUP($G30,'STARTOVNÍ LISTINA'!$A$8:$E$37,4,0)))</f>
        <v>MP Praha</v>
      </c>
      <c r="E30" s="67">
        <f>IF(ISERROR(IF(VLOOKUP($G30,PRAC!$A$8:$V$37,14,0)=0,"",VLOOKUP($G30,PRAC!$A$8:$V$37,14,0)))=TRUE,"",IF(VLOOKUP($G30,PRAC!$A$8:$V$37,14,0)=0,"",VLOOKUP($G30,PRAC!$A$8:$V$37,14,0)))</f>
        <v>2.4703703703703702E-3</v>
      </c>
      <c r="F30" s="69">
        <f>IF(ISERROR(IF(VLOOKUP($G30,PRAC!$A$8:$V$37,21,0)=0,"",VLOOKUP($G30,PRAC!$A$8:$V$37,21,0)))=TRUE,"",IF(VLOOKUP($G30,PRAC!$A$8:$V$37,21,0)=0,"",VLOOKUP($G30,PRAC!$A$8:$V$37,21,0)))</f>
        <v>148</v>
      </c>
      <c r="G30" s="65">
        <f>IF(ISERROR(VLOOKUP(A30,PRAC!$V$8:$Z$37,5,0))=TRUE,"",VLOOKUP(A30,PRAC!$V$8:$Z$37,5,0))</f>
        <v>22</v>
      </c>
      <c r="H30" s="39"/>
    </row>
    <row r="31" spans="1:8" s="40" customFormat="1" ht="20.100000000000001" customHeight="1">
      <c r="A31" s="48">
        <v>23</v>
      </c>
      <c r="B31" s="217" t="str">
        <f>IF(ISERROR(IF(VLOOKUP($G31,'STARTOVNÍ LISTINA'!$A$8:$E$37,2,0)=0,"",VLOOKUP($G31,'STARTOVNÍ LISTINA'!$A$8:$E$37,2,0)))=TRUE,"",IF(VLOOKUP($G31,'STARTOVNÍ LISTINA'!$A$8:$E$37,2,0)=0,"",VLOOKUP($G31,'STARTOVNÍ LISTINA'!$A$8:$E$37,2,0)))</f>
        <v/>
      </c>
      <c r="C31" s="52" t="str">
        <f>IF(ISERROR(IF(VLOOKUP($G31,'STARTOVNÍ LISTINA'!$A$8:$E$37,3,0)=0,"",VLOOKUP($G31,'STARTOVNÍ LISTINA'!$A$8:$E$37,3,0)))=TRUE,"",IF(VLOOKUP($G31,'STARTOVNÍ LISTINA'!$A$8:$E$37,3,0)=0,"",VLOOKUP($G31,'STARTOVNÍ LISTINA'!$A$8:$E$37,3,0)))</f>
        <v/>
      </c>
      <c r="D31" s="51" t="str">
        <f>IF(ISERROR(IF(VLOOKUP($G31,'STARTOVNÍ LISTINA'!$A$8:$E$37,4,0)=0,"",VLOOKUP($G31,'STARTOVNÍ LISTINA'!$A$8:$E$37,4,0)))=TRUE,"",IF(VLOOKUP($G31,'STARTOVNÍ LISTINA'!$A$8:$E$37,4,0)=0,"",VLOOKUP($G31,'STARTOVNÍ LISTINA'!$A$8:$E$37,4,0)))</f>
        <v/>
      </c>
      <c r="E31" s="67" t="str">
        <f>IF(ISERROR(IF(VLOOKUP($G31,PRAC!$A$8:$V$37,14,0)=0,"",VLOOKUP($G31,PRAC!$A$8:$V$37,14,0)))=TRUE,"",IF(VLOOKUP($G31,PRAC!$A$8:$V$37,14,0)=0,"",VLOOKUP($G31,PRAC!$A$8:$V$37,14,0)))</f>
        <v/>
      </c>
      <c r="F31" s="69" t="str">
        <f>IF(ISERROR(IF(VLOOKUP($G31,PRAC!$A$8:$V$37,21,0)=0,"",VLOOKUP($G31,PRAC!$A$8:$V$37,21,0)))=TRUE,"",IF(VLOOKUP($G31,PRAC!$A$8:$V$37,21,0)=0,"",VLOOKUP($G31,PRAC!$A$8:$V$37,21,0)))</f>
        <v/>
      </c>
      <c r="G31" s="65" t="str">
        <f>IF(ISERROR(VLOOKUP(A31,PRAC!$V$8:$Z$37,5,0))=TRUE,"",VLOOKUP(A31,PRAC!$V$8:$Z$37,5,0))</f>
        <v/>
      </c>
      <c r="H31" s="39"/>
    </row>
    <row r="32" spans="1:8" s="40" customFormat="1" ht="20.100000000000001" customHeight="1">
      <c r="A32" s="48">
        <v>24</v>
      </c>
      <c r="B32" s="217" t="str">
        <f>IF(ISERROR(IF(VLOOKUP($G32,'STARTOVNÍ LISTINA'!$A$8:$E$37,2,0)=0,"",VLOOKUP($G32,'STARTOVNÍ LISTINA'!$A$8:$E$37,2,0)))=TRUE,"",IF(VLOOKUP($G32,'STARTOVNÍ LISTINA'!$A$8:$E$37,2,0)=0,"",VLOOKUP($G32,'STARTOVNÍ LISTINA'!$A$8:$E$37,2,0)))</f>
        <v/>
      </c>
      <c r="C32" s="52" t="str">
        <f>IF(ISERROR(IF(VLOOKUP($G32,'STARTOVNÍ LISTINA'!$A$8:$E$37,3,0)=0,"",VLOOKUP($G32,'STARTOVNÍ LISTINA'!$A$8:$E$37,3,0)))=TRUE,"",IF(VLOOKUP($G32,'STARTOVNÍ LISTINA'!$A$8:$E$37,3,0)=0,"",VLOOKUP($G32,'STARTOVNÍ LISTINA'!$A$8:$E$37,3,0)))</f>
        <v/>
      </c>
      <c r="D32" s="51" t="str">
        <f>IF(ISERROR(IF(VLOOKUP($G32,'STARTOVNÍ LISTINA'!$A$8:$E$37,4,0)=0,"",VLOOKUP($G32,'STARTOVNÍ LISTINA'!$A$8:$E$37,4,0)))=TRUE,"",IF(VLOOKUP($G32,'STARTOVNÍ LISTINA'!$A$8:$E$37,4,0)=0,"",VLOOKUP($G32,'STARTOVNÍ LISTINA'!$A$8:$E$37,4,0)))</f>
        <v/>
      </c>
      <c r="E32" s="67" t="str">
        <f>IF(ISERROR(IF(VLOOKUP($G32,PRAC!$A$8:$V$37,14,0)=0,"",VLOOKUP($G32,PRAC!$A$8:$V$37,14,0)))=TRUE,"",IF(VLOOKUP($G32,PRAC!$A$8:$V$37,14,0)=0,"",VLOOKUP($G32,PRAC!$A$8:$V$37,14,0)))</f>
        <v/>
      </c>
      <c r="F32" s="69" t="str">
        <f>IF(ISERROR(IF(VLOOKUP($G32,PRAC!$A$8:$V$37,21,0)=0,"",VLOOKUP($G32,PRAC!$A$8:$V$37,21,0)))=TRUE,"",IF(VLOOKUP($G32,PRAC!$A$8:$V$37,21,0)=0,"",VLOOKUP($G32,PRAC!$A$8:$V$37,21,0)))</f>
        <v/>
      </c>
      <c r="G32" s="65" t="str">
        <f>IF(ISERROR(VLOOKUP(A32,PRAC!$V$8:$Z$37,5,0))=TRUE,"",VLOOKUP(A32,PRAC!$V$8:$Z$37,5,0))</f>
        <v/>
      </c>
      <c r="H32" s="39"/>
    </row>
    <row r="33" spans="1:8" s="40" customFormat="1" ht="20.100000000000001" customHeight="1">
      <c r="A33" s="48">
        <v>25</v>
      </c>
      <c r="B33" s="217" t="str">
        <f>IF(ISERROR(IF(VLOOKUP($G33,'STARTOVNÍ LISTINA'!$A$8:$E$37,2,0)=0,"",VLOOKUP($G33,'STARTOVNÍ LISTINA'!$A$8:$E$37,2,0)))=TRUE,"",IF(VLOOKUP($G33,'STARTOVNÍ LISTINA'!$A$8:$E$37,2,0)=0,"",VLOOKUP($G33,'STARTOVNÍ LISTINA'!$A$8:$E$37,2,0)))</f>
        <v/>
      </c>
      <c r="C33" s="52" t="str">
        <f>IF(ISERROR(IF(VLOOKUP($G33,'STARTOVNÍ LISTINA'!$A$8:$E$37,3,0)=0,"",VLOOKUP($G33,'STARTOVNÍ LISTINA'!$A$8:$E$37,3,0)))=TRUE,"",IF(VLOOKUP($G33,'STARTOVNÍ LISTINA'!$A$8:$E$37,3,0)=0,"",VLOOKUP($G33,'STARTOVNÍ LISTINA'!$A$8:$E$37,3,0)))</f>
        <v/>
      </c>
      <c r="D33" s="51" t="str">
        <f>IF(ISERROR(IF(VLOOKUP($G33,'STARTOVNÍ LISTINA'!$A$8:$E$37,4,0)=0,"",VLOOKUP($G33,'STARTOVNÍ LISTINA'!$A$8:$E$37,4,0)))=TRUE,"",IF(VLOOKUP($G33,'STARTOVNÍ LISTINA'!$A$8:$E$37,4,0)=0,"",VLOOKUP($G33,'STARTOVNÍ LISTINA'!$A$8:$E$37,4,0)))</f>
        <v/>
      </c>
      <c r="E33" s="67" t="str">
        <f>IF(ISERROR(IF(VLOOKUP($G33,PRAC!$A$8:$V$37,14,0)=0,"",VLOOKUP($G33,PRAC!$A$8:$V$37,14,0)))=TRUE,"",IF(VLOOKUP($G33,PRAC!$A$8:$V$37,14,0)=0,"",VLOOKUP($G33,PRAC!$A$8:$V$37,14,0)))</f>
        <v/>
      </c>
      <c r="F33" s="69" t="str">
        <f>IF(ISERROR(IF(VLOOKUP($G33,PRAC!$A$8:$V$37,21,0)=0,"",VLOOKUP($G33,PRAC!$A$8:$V$37,21,0)))=TRUE,"",IF(VLOOKUP($G33,PRAC!$A$8:$V$37,21,0)=0,"",VLOOKUP($G33,PRAC!$A$8:$V$37,21,0)))</f>
        <v/>
      </c>
      <c r="G33" s="65" t="str">
        <f>IF(ISERROR(VLOOKUP(A33,PRAC!$V$8:$Z$37,5,0))=TRUE,"",VLOOKUP(A33,PRAC!$V$8:$Z$37,5,0))</f>
        <v/>
      </c>
      <c r="H33" s="39"/>
    </row>
    <row r="34" spans="1:8" s="40" customFormat="1" ht="20.100000000000001" customHeight="1">
      <c r="A34" s="48">
        <v>26</v>
      </c>
      <c r="B34" s="217" t="str">
        <f>IF(ISERROR(IF(VLOOKUP($G34,'STARTOVNÍ LISTINA'!$A$8:$E$37,2,0)=0,"",VLOOKUP($G34,'STARTOVNÍ LISTINA'!$A$8:$E$37,2,0)))=TRUE,"",IF(VLOOKUP($G34,'STARTOVNÍ LISTINA'!$A$8:$E$37,2,0)=0,"",VLOOKUP($G34,'STARTOVNÍ LISTINA'!$A$8:$E$37,2,0)))</f>
        <v/>
      </c>
      <c r="C34" s="52" t="str">
        <f>IF(ISERROR(IF(VLOOKUP($G34,'STARTOVNÍ LISTINA'!$A$8:$E$37,3,0)=0,"",VLOOKUP($G34,'STARTOVNÍ LISTINA'!$A$8:$E$37,3,0)))=TRUE,"",IF(VLOOKUP($G34,'STARTOVNÍ LISTINA'!$A$8:$E$37,3,0)=0,"",VLOOKUP($G34,'STARTOVNÍ LISTINA'!$A$8:$E$37,3,0)))</f>
        <v/>
      </c>
      <c r="D34" s="51" t="str">
        <f>IF(ISERROR(IF(VLOOKUP($G34,'STARTOVNÍ LISTINA'!$A$8:$E$37,4,0)=0,"",VLOOKUP($G34,'STARTOVNÍ LISTINA'!$A$8:$E$37,4,0)))=TRUE,"",IF(VLOOKUP($G34,'STARTOVNÍ LISTINA'!$A$8:$E$37,4,0)=0,"",VLOOKUP($G34,'STARTOVNÍ LISTINA'!$A$8:$E$37,4,0)))</f>
        <v/>
      </c>
      <c r="E34" s="67" t="str">
        <f>IF(ISERROR(IF(VLOOKUP($G34,PRAC!$A$8:$V$37,14,0)=0,"",VLOOKUP($G34,PRAC!$A$8:$V$37,14,0)))=TRUE,"",IF(VLOOKUP($G34,PRAC!$A$8:$V$37,14,0)=0,"",VLOOKUP($G34,PRAC!$A$8:$V$37,14,0)))</f>
        <v/>
      </c>
      <c r="F34" s="69" t="str">
        <f>IF(ISERROR(IF(VLOOKUP($G34,PRAC!$A$8:$V$37,21,0)=0,"",VLOOKUP($G34,PRAC!$A$8:$V$37,21,0)))=TRUE,"",IF(VLOOKUP($G34,PRAC!$A$8:$V$37,21,0)=0,"",VLOOKUP($G34,PRAC!$A$8:$V$37,21,0)))</f>
        <v/>
      </c>
      <c r="G34" s="65" t="str">
        <f>IF(ISERROR(VLOOKUP(A34,PRAC!$V$8:$Z$37,5,0))=TRUE,"",VLOOKUP(A34,PRAC!$V$8:$Z$37,5,0))</f>
        <v/>
      </c>
      <c r="H34" s="39"/>
    </row>
    <row r="35" spans="1:8" s="40" customFormat="1" ht="20.100000000000001" customHeight="1">
      <c r="A35" s="48">
        <v>27</v>
      </c>
      <c r="B35" s="217" t="str">
        <f>IF(ISERROR(IF(VLOOKUP($G35,'STARTOVNÍ LISTINA'!$A$8:$E$37,2,0)=0,"",VLOOKUP($G35,'STARTOVNÍ LISTINA'!$A$8:$E$37,2,0)))=TRUE,"",IF(VLOOKUP($G35,'STARTOVNÍ LISTINA'!$A$8:$E$37,2,0)=0,"",VLOOKUP($G35,'STARTOVNÍ LISTINA'!$A$8:$E$37,2,0)))</f>
        <v/>
      </c>
      <c r="C35" s="52" t="str">
        <f>IF(ISERROR(IF(VLOOKUP($G35,'STARTOVNÍ LISTINA'!$A$8:$E$37,3,0)=0,"",VLOOKUP($G35,'STARTOVNÍ LISTINA'!$A$8:$E$37,3,0)))=TRUE,"",IF(VLOOKUP($G35,'STARTOVNÍ LISTINA'!$A$8:$E$37,3,0)=0,"",VLOOKUP($G35,'STARTOVNÍ LISTINA'!$A$8:$E$37,3,0)))</f>
        <v/>
      </c>
      <c r="D35" s="51" t="str">
        <f>IF(ISERROR(IF(VLOOKUP($G35,'STARTOVNÍ LISTINA'!$A$8:$E$37,4,0)=0,"",VLOOKUP($G35,'STARTOVNÍ LISTINA'!$A$8:$E$37,4,0)))=TRUE,"",IF(VLOOKUP($G35,'STARTOVNÍ LISTINA'!$A$8:$E$37,4,0)=0,"",VLOOKUP($G35,'STARTOVNÍ LISTINA'!$A$8:$E$37,4,0)))</f>
        <v/>
      </c>
      <c r="E35" s="67" t="str">
        <f>IF(ISERROR(IF(VLOOKUP($G35,PRAC!$A$8:$V$37,14,0)=0,"",VLOOKUP($G35,PRAC!$A$8:$V$37,14,0)))=TRUE,"",IF(VLOOKUP($G35,PRAC!$A$8:$V$37,14,0)=0,"",VLOOKUP($G35,PRAC!$A$8:$V$37,14,0)))</f>
        <v/>
      </c>
      <c r="F35" s="69" t="str">
        <f>IF(ISERROR(IF(VLOOKUP($G35,PRAC!$A$8:$V$37,21,0)=0,"",VLOOKUP($G35,PRAC!$A$8:$V$37,21,0)))=TRUE,"",IF(VLOOKUP($G35,PRAC!$A$8:$V$37,21,0)=0,"",VLOOKUP($G35,PRAC!$A$8:$V$37,21,0)))</f>
        <v/>
      </c>
      <c r="G35" s="65" t="str">
        <f>IF(ISERROR(VLOOKUP(A35,PRAC!$V$8:$Z$37,5,0))=TRUE,"",VLOOKUP(A35,PRAC!$V$8:$Z$37,5,0))</f>
        <v/>
      </c>
      <c r="H35" s="39"/>
    </row>
    <row r="36" spans="1:8" s="40" customFormat="1" ht="20.100000000000001" customHeight="1">
      <c r="A36" s="48">
        <v>28</v>
      </c>
      <c r="B36" s="217" t="str">
        <f>IF(ISERROR(IF(VLOOKUP($G36,'STARTOVNÍ LISTINA'!$A$8:$E$37,2,0)=0,"",VLOOKUP($G36,'STARTOVNÍ LISTINA'!$A$8:$E$37,2,0)))=TRUE,"",IF(VLOOKUP($G36,'STARTOVNÍ LISTINA'!$A$8:$E$37,2,0)=0,"",VLOOKUP($G36,'STARTOVNÍ LISTINA'!$A$8:$E$37,2,0)))</f>
        <v/>
      </c>
      <c r="C36" s="52" t="str">
        <f>IF(ISERROR(IF(VLOOKUP($G36,'STARTOVNÍ LISTINA'!$A$8:$E$37,3,0)=0,"",VLOOKUP($G36,'STARTOVNÍ LISTINA'!$A$8:$E$37,3,0)))=TRUE,"",IF(VLOOKUP($G36,'STARTOVNÍ LISTINA'!$A$8:$E$37,3,0)=0,"",VLOOKUP($G36,'STARTOVNÍ LISTINA'!$A$8:$E$37,3,0)))</f>
        <v/>
      </c>
      <c r="D36" s="51" t="str">
        <f>IF(ISERROR(IF(VLOOKUP($G36,'STARTOVNÍ LISTINA'!$A$8:$E$37,4,0)=0,"",VLOOKUP($G36,'STARTOVNÍ LISTINA'!$A$8:$E$37,4,0)))=TRUE,"",IF(VLOOKUP($G36,'STARTOVNÍ LISTINA'!$A$8:$E$37,4,0)=0,"",VLOOKUP($G36,'STARTOVNÍ LISTINA'!$A$8:$E$37,4,0)))</f>
        <v/>
      </c>
      <c r="E36" s="67" t="str">
        <f>IF(ISERROR(IF(VLOOKUP($G36,PRAC!$A$8:$V$37,14,0)=0,"",VLOOKUP($G36,PRAC!$A$8:$V$37,14,0)))=TRUE,"",IF(VLOOKUP($G36,PRAC!$A$8:$V$37,14,0)=0,"",VLOOKUP($G36,PRAC!$A$8:$V$37,14,0)))</f>
        <v/>
      </c>
      <c r="F36" s="69" t="str">
        <f>IF(ISERROR(IF(VLOOKUP($G36,PRAC!$A$8:$V$37,21,0)=0,"",VLOOKUP($G36,PRAC!$A$8:$V$37,21,0)))=TRUE,"",IF(VLOOKUP($G36,PRAC!$A$8:$V$37,21,0)=0,"",VLOOKUP($G36,PRAC!$A$8:$V$37,21,0)))</f>
        <v/>
      </c>
      <c r="G36" s="65" t="str">
        <f>IF(ISERROR(VLOOKUP(A36,PRAC!$V$8:$Z$37,5,0))=TRUE,"",VLOOKUP(A36,PRAC!$V$8:$Z$37,5,0))</f>
        <v/>
      </c>
      <c r="H36" s="39"/>
    </row>
    <row r="37" spans="1:8" s="40" customFormat="1" ht="20.100000000000001" customHeight="1">
      <c r="A37" s="48">
        <v>29</v>
      </c>
      <c r="B37" s="217" t="str">
        <f>IF(ISERROR(IF(VLOOKUP($G37,'STARTOVNÍ LISTINA'!$A$8:$E$37,2,0)=0,"",VLOOKUP($G37,'STARTOVNÍ LISTINA'!$A$8:$E$37,2,0)))=TRUE,"",IF(VLOOKUP($G37,'STARTOVNÍ LISTINA'!$A$8:$E$37,2,0)=0,"",VLOOKUP($G37,'STARTOVNÍ LISTINA'!$A$8:$E$37,2,0)))</f>
        <v/>
      </c>
      <c r="C37" s="52" t="str">
        <f>IF(ISERROR(IF(VLOOKUP($G37,'STARTOVNÍ LISTINA'!$A$8:$E$37,3,0)=0,"",VLOOKUP($G37,'STARTOVNÍ LISTINA'!$A$8:$E$37,3,0)))=TRUE,"",IF(VLOOKUP($G37,'STARTOVNÍ LISTINA'!$A$8:$E$37,3,0)=0,"",VLOOKUP($G37,'STARTOVNÍ LISTINA'!$A$8:$E$37,3,0)))</f>
        <v/>
      </c>
      <c r="D37" s="51" t="str">
        <f>IF(ISERROR(IF(VLOOKUP($G37,'STARTOVNÍ LISTINA'!$A$8:$E$37,4,0)=0,"",VLOOKUP($G37,'STARTOVNÍ LISTINA'!$A$8:$E$37,4,0)))=TRUE,"",IF(VLOOKUP($G37,'STARTOVNÍ LISTINA'!$A$8:$E$37,4,0)=0,"",VLOOKUP($G37,'STARTOVNÍ LISTINA'!$A$8:$E$37,4,0)))</f>
        <v/>
      </c>
      <c r="E37" s="67" t="str">
        <f>IF(ISERROR(IF(VLOOKUP($G37,PRAC!$A$8:$V$37,14,0)=0,"",VLOOKUP($G37,PRAC!$A$8:$V$37,14,0)))=TRUE,"",IF(VLOOKUP($G37,PRAC!$A$8:$V$37,14,0)=0,"",VLOOKUP($G37,PRAC!$A$8:$V$37,14,0)))</f>
        <v/>
      </c>
      <c r="F37" s="69" t="str">
        <f>IF(ISERROR(IF(VLOOKUP($G37,PRAC!$A$8:$V$37,21,0)=0,"",VLOOKUP($G37,PRAC!$A$8:$V$37,21,0)))=TRUE,"",IF(VLOOKUP($G37,PRAC!$A$8:$V$37,21,0)=0,"",VLOOKUP($G37,PRAC!$A$8:$V$37,21,0)))</f>
        <v/>
      </c>
      <c r="G37" s="65" t="str">
        <f>IF(ISERROR(VLOOKUP(A37,PRAC!$V$8:$Z$37,5,0))=TRUE,"",VLOOKUP(A37,PRAC!$V$8:$Z$37,5,0))</f>
        <v/>
      </c>
      <c r="H37" s="39"/>
    </row>
    <row r="38" spans="1:8" s="40" customFormat="1" ht="20.100000000000001" customHeight="1">
      <c r="A38" s="48">
        <v>30</v>
      </c>
      <c r="B38" s="217" t="str">
        <f>IF(ISERROR(IF(VLOOKUP($G38,'STARTOVNÍ LISTINA'!$A$8:$E$37,2,0)=0,"",VLOOKUP($G38,'STARTOVNÍ LISTINA'!$A$8:$E$37,2,0)))=TRUE,"",IF(VLOOKUP($G38,'STARTOVNÍ LISTINA'!$A$8:$E$37,2,0)=0,"",VLOOKUP($G38,'STARTOVNÍ LISTINA'!$A$8:$E$37,2,0)))</f>
        <v/>
      </c>
      <c r="C38" s="52" t="str">
        <f>IF(ISERROR(IF(VLOOKUP($G38,'STARTOVNÍ LISTINA'!$A$8:$E$37,3,0)=0,"",VLOOKUP($G38,'STARTOVNÍ LISTINA'!$A$8:$E$37,3,0)))=TRUE,"",IF(VLOOKUP($G38,'STARTOVNÍ LISTINA'!$A$8:$E$37,3,0)=0,"",VLOOKUP($G38,'STARTOVNÍ LISTINA'!$A$8:$E$37,3,0)))</f>
        <v/>
      </c>
      <c r="D38" s="51" t="str">
        <f>IF(ISERROR(IF(VLOOKUP($G38,'STARTOVNÍ LISTINA'!$A$8:$E$37,4,0)=0,"",VLOOKUP($G38,'STARTOVNÍ LISTINA'!$A$8:$E$37,4,0)))=TRUE,"",IF(VLOOKUP($G38,'STARTOVNÍ LISTINA'!$A$8:$E$37,4,0)=0,"",VLOOKUP($G38,'STARTOVNÍ LISTINA'!$A$8:$E$37,4,0)))</f>
        <v/>
      </c>
      <c r="E38" s="67" t="str">
        <f>IF(ISERROR(IF(VLOOKUP($G38,PRAC!$A$8:$V$37,14,0)=0,"",VLOOKUP($G38,PRAC!$A$8:$V$37,14,0)))=TRUE,"",IF(VLOOKUP($G38,PRAC!$A$8:$V$37,14,0)=0,"",VLOOKUP($G38,PRAC!$A$8:$V$37,14,0)))</f>
        <v/>
      </c>
      <c r="F38" s="69" t="str">
        <f>IF(ISERROR(IF(VLOOKUP($G38,PRAC!$A$8:$V$37,21,0)=0,"",VLOOKUP($G38,PRAC!$A$8:$V$37,21,0)))=TRUE,"",IF(VLOOKUP($G38,PRAC!$A$8:$V$37,21,0)=0,"",VLOOKUP($G38,PRAC!$A$8:$V$37,21,0)))</f>
        <v/>
      </c>
      <c r="G38" s="65" t="str">
        <f>IF(ISERROR(VLOOKUP(A38,PRAC!$V$8:$Z$37,5,0))=TRUE,"",VLOOKUP(A38,PRAC!$V$8:$Z$37,5,0))</f>
        <v/>
      </c>
      <c r="H38" s="39"/>
    </row>
    <row r="39" spans="1:8" s="40" customFormat="1" ht="20.100000000000001" customHeight="1">
      <c r="A39" s="218" t="s">
        <v>130</v>
      </c>
      <c r="B39" s="238" t="str">
        <f>IF($G39=$G38,"",IF(ISERROR(IF(VLOOKUP($G39,'STARTOVNÍ LISTINA'!$A$8:$E$37,2,0)=0,"",VLOOKUP($G39,'STARTOVNÍ LISTINA'!$A$8:$E$37,2,0)))=TRUE,"",IF(VLOOKUP($G39,'STARTOVNÍ LISTINA'!$A$8:$E$37,2,0)=0,"",VLOOKUP($G39,'STARTOVNÍ LISTINA'!$A$8:$E$37,2,0))))</f>
        <v/>
      </c>
      <c r="C39" s="219" t="str">
        <f>IF($G39=$G38,"",IF(ISERROR(IF(VLOOKUP($G39,'STARTOVNÍ LISTINA'!$A$8:$E$37,3,0)=0,"",VLOOKUP($G39,'STARTOVNÍ LISTINA'!$A$8:$E$37,3,0)))=TRUE,"",IF(VLOOKUP($G39,'STARTOVNÍ LISTINA'!$A$8:$E$37,3,0)=0,"",VLOOKUP($G39,'STARTOVNÍ LISTINA'!$A$8:$E$37,3,0))))</f>
        <v/>
      </c>
      <c r="D39" s="220" t="str">
        <f>IF($G39=$G38,"",IF(ISERROR(IF(VLOOKUP($G39,'STARTOVNÍ LISTINA'!$A$8:$E$37,4,0)=0,"",VLOOKUP($G39,'STARTOVNÍ LISTINA'!$A$8:$E$37,4,0)))=TRUE,"",IF(VLOOKUP($G39,'STARTOVNÍ LISTINA'!$A$8:$E$37,4,0)=0,"",VLOOKUP($G39,'STARTOVNÍ LISTINA'!$A$8:$E$37,4,0))))</f>
        <v/>
      </c>
      <c r="E39" s="221" t="str">
        <f>IF($G39=$G38,"",IF(ISERROR(IF(VLOOKUP($G39,PRAC!$A$8:$V$37,14,0)=0,"",VLOOKUP($G39,PRAC!$A$8:$V$37,14,0)))=TRUE,"",IF(VLOOKUP($G39,PRAC!$A$8:$V$37,14,0)=0,"",VLOOKUP($G39,PRAC!$A$8:$V$37,14,0))))</f>
        <v/>
      </c>
      <c r="F39" s="222" t="str">
        <f>IF($G39=$G38,"",IF(ISERROR(IF(VLOOKUP($G39,PRAC!$A$8:$V$37,21,0)=0,"",VLOOKUP($G39,PRAC!$A$8:$V$37,21,0)))=TRUE,"",IF(VLOOKUP($G39,PRAC!$A$8:$V$37,21,0)=0,"",VLOOKUP($G39,PRAC!$A$8:$V$37,21,0))))</f>
        <v/>
      </c>
      <c r="G39" s="223" t="str">
        <f>IF(IF(ISERROR(VLOOKUP(A39,PRAC!$V$8:$Z$37,4,0))=TRUE,"",VLOOKUP(A39,PRAC!$V$8:$Z$37,4,0))=IF(ISERROR(VLOOKUP(A38,PRAC!$V$8:$Z$37,4,0))=TRUE,"",VLOOKUP(A38,PRAC!$V$8:$Z$37,4,0)),"",IF(ISERROR(VLOOKUP(A39,PRAC!$V$8:$Z$37,4,0))=TRUE,"",VLOOKUP(A39,PRAC!$V$8:$Z$37,4,0)))</f>
        <v/>
      </c>
      <c r="H39" s="39"/>
    </row>
    <row r="40" spans="1:8" s="40" customFormat="1" ht="20.100000000000001" customHeight="1">
      <c r="A40" s="218" t="s">
        <v>130</v>
      </c>
      <c r="B40" s="238" t="str">
        <f>IF($G40=$G39,"",IF(ISERROR(IF(VLOOKUP($G40,'STARTOVNÍ LISTINA'!$A$8:$E$37,2,0)=0,"",VLOOKUP($G40,'STARTOVNÍ LISTINA'!$A$8:$E$37,2,0)))=TRUE,"",IF(VLOOKUP($G40,'STARTOVNÍ LISTINA'!$A$8:$E$37,2,0)=0,"",VLOOKUP($G40,'STARTOVNÍ LISTINA'!$A$8:$E$37,2,0))))</f>
        <v/>
      </c>
      <c r="C40" s="219" t="str">
        <f>IF($G40=$G39,"",IF(ISERROR(IF(VLOOKUP($G40,'STARTOVNÍ LISTINA'!$A$8:$E$37,3,0)=0,"",VLOOKUP($G40,'STARTOVNÍ LISTINA'!$A$8:$E$37,3,0)))=TRUE,"",IF(VLOOKUP($G40,'STARTOVNÍ LISTINA'!$A$8:$E$37,3,0)=0,"",VLOOKUP($G40,'STARTOVNÍ LISTINA'!$A$8:$E$37,3,0))))</f>
        <v/>
      </c>
      <c r="D40" s="220" t="str">
        <f>IF($G40=$G39,"",IF(ISERROR(IF(VLOOKUP($G40,'STARTOVNÍ LISTINA'!$A$8:$E$37,4,0)=0,"",VLOOKUP($G40,'STARTOVNÍ LISTINA'!$A$8:$E$37,4,0)))=TRUE,"",IF(VLOOKUP($G40,'STARTOVNÍ LISTINA'!$A$8:$E$37,4,0)=0,"",VLOOKUP($G40,'STARTOVNÍ LISTINA'!$A$8:$E$37,4,0))))</f>
        <v/>
      </c>
      <c r="E40" s="221" t="str">
        <f>IF($G40=$G39,"",IF(ISERROR(IF(VLOOKUP($G40,PRAC!$A$8:$V$37,14,0)=0,"",VLOOKUP($G40,PRAC!$A$8:$V$37,14,0)))=TRUE,"",IF(VLOOKUP($G40,PRAC!$A$8:$V$37,14,0)=0,"",VLOOKUP($G40,PRAC!$A$8:$V$37,14,0))))</f>
        <v/>
      </c>
      <c r="F40" s="222" t="str">
        <f>IF($G40=$G39,"",IF(ISERROR(IF(VLOOKUP($G40,PRAC!$A$8:$V$37,21,0)=0,"",VLOOKUP($G40,PRAC!$A$8:$V$37,21,0)))=TRUE,"",IF(VLOOKUP($G40,PRAC!$A$8:$V$37,21,0)=0,"",VLOOKUP($G40,PRAC!$A$8:$V$37,21,0))))</f>
        <v/>
      </c>
      <c r="G40" s="223" t="str">
        <f>IF(IF(ISERROR(VLOOKUP(A40,PRAC!$V$8:$Z$37,4,0))=TRUE,"",VLOOKUP(A40,PRAC!$V$8:$Z$37,4,0))=IF(ISERROR(VLOOKUP(A39,PRAC!$V$8:$Z$37,4,0))=TRUE,"",VLOOKUP(A39,PRAC!$V$8:$Z$37,4,0)),"",IF(ISERROR(VLOOKUP(A40,PRAC!$V$8:$Z$37,4,0))=TRUE,"",VLOOKUP(A40,PRAC!$V$8:$Z$37,4,0)))</f>
        <v/>
      </c>
      <c r="H40" s="39"/>
    </row>
    <row r="41" spans="1:8" s="40" customFormat="1" ht="20.100000000000001" customHeight="1">
      <c r="A41" s="218" t="s">
        <v>130</v>
      </c>
      <c r="B41" s="238" t="str">
        <f>IF($G41=$G40,"",IF(ISERROR(IF(VLOOKUP($G41,'STARTOVNÍ LISTINA'!$A$8:$E$37,2,0)=0,"",VLOOKUP($G41,'STARTOVNÍ LISTINA'!$A$8:$E$37,2,0)))=TRUE,"",IF(VLOOKUP($G41,'STARTOVNÍ LISTINA'!$A$8:$E$37,2,0)=0,"",VLOOKUP($G41,'STARTOVNÍ LISTINA'!$A$8:$E$37,2,0))))</f>
        <v/>
      </c>
      <c r="C41" s="219" t="str">
        <f>IF($G41=$G40,"",IF(ISERROR(IF(VLOOKUP($G41,'STARTOVNÍ LISTINA'!$A$8:$E$37,3,0)=0,"",VLOOKUP($G41,'STARTOVNÍ LISTINA'!$A$8:$E$37,3,0)))=TRUE,"",IF(VLOOKUP($G41,'STARTOVNÍ LISTINA'!$A$8:$E$37,3,0)=0,"",VLOOKUP($G41,'STARTOVNÍ LISTINA'!$A$8:$E$37,3,0))))</f>
        <v/>
      </c>
      <c r="D41" s="220" t="str">
        <f>IF($G41=$G40,"",IF(ISERROR(IF(VLOOKUP($G41,'STARTOVNÍ LISTINA'!$A$8:$E$37,4,0)=0,"",VLOOKUP($G41,'STARTOVNÍ LISTINA'!$A$8:$E$37,4,0)))=TRUE,"",IF(VLOOKUP($G41,'STARTOVNÍ LISTINA'!$A$8:$E$37,4,0)=0,"",VLOOKUP($G41,'STARTOVNÍ LISTINA'!$A$8:$E$37,4,0))))</f>
        <v/>
      </c>
      <c r="E41" s="221" t="str">
        <f>IF($G41=$G40,"",IF(ISERROR(IF(VLOOKUP($G41,PRAC!$A$8:$V$37,14,0)=0,"",VLOOKUP($G41,PRAC!$A$8:$V$37,14,0)))=TRUE,"",IF(VLOOKUP($G41,PRAC!$A$8:$V$37,14,0)=0,"",VLOOKUP($G41,PRAC!$A$8:$V$37,14,0))))</f>
        <v/>
      </c>
      <c r="F41" s="222" t="str">
        <f>IF($G41=$G40,"",IF(ISERROR(IF(VLOOKUP($G41,PRAC!$A$8:$V$37,21,0)=0,"",VLOOKUP($G41,PRAC!$A$8:$V$37,21,0)))=TRUE,"",IF(VLOOKUP($G41,PRAC!$A$8:$V$37,21,0)=0,"",VLOOKUP($G41,PRAC!$A$8:$V$37,21,0))))</f>
        <v/>
      </c>
      <c r="G41" s="223" t="str">
        <f>IF(IF(ISERROR(VLOOKUP(A41,PRAC!$V$8:$Z$37,4,0))=TRUE,"",VLOOKUP(A41,PRAC!$V$8:$Z$37,4,0))=IF(ISERROR(VLOOKUP(A40,PRAC!$V$8:$Z$37,4,0))=TRUE,"",VLOOKUP(A40,PRAC!$V$8:$Z$37,4,0)),"",IF(ISERROR(VLOOKUP(A41,PRAC!$V$8:$Z$37,4,0))=TRUE,"",VLOOKUP(A41,PRAC!$V$8:$Z$37,4,0)))</f>
        <v/>
      </c>
      <c r="H41" s="39"/>
    </row>
    <row r="42" spans="1:8" s="40" customFormat="1" ht="20.100000000000001" customHeight="1">
      <c r="A42" s="218" t="s">
        <v>130</v>
      </c>
      <c r="B42" s="238" t="str">
        <f>IF($G42=$G41,"",IF(ISERROR(IF(VLOOKUP($G42,'STARTOVNÍ LISTINA'!$A$8:$E$37,2,0)=0,"",VLOOKUP($G42,'STARTOVNÍ LISTINA'!$A$8:$E$37,2,0)))=TRUE,"",IF(VLOOKUP($G42,'STARTOVNÍ LISTINA'!$A$8:$E$37,2,0)=0,"",VLOOKUP($G42,'STARTOVNÍ LISTINA'!$A$8:$E$37,2,0))))</f>
        <v/>
      </c>
      <c r="C42" s="219" t="str">
        <f>IF($G42=$G41,"",IF(ISERROR(IF(VLOOKUP($G42,'STARTOVNÍ LISTINA'!$A$8:$E$37,3,0)=0,"",VLOOKUP($G42,'STARTOVNÍ LISTINA'!$A$8:$E$37,3,0)))=TRUE,"",IF(VLOOKUP($G42,'STARTOVNÍ LISTINA'!$A$8:$E$37,3,0)=0,"",VLOOKUP($G42,'STARTOVNÍ LISTINA'!$A$8:$E$37,3,0))))</f>
        <v/>
      </c>
      <c r="D42" s="220" t="str">
        <f>IF($G42=$G41,"",IF(ISERROR(IF(VLOOKUP($G42,'STARTOVNÍ LISTINA'!$A$8:$E$37,4,0)=0,"",VLOOKUP($G42,'STARTOVNÍ LISTINA'!$A$8:$E$37,4,0)))=TRUE,"",IF(VLOOKUP($G42,'STARTOVNÍ LISTINA'!$A$8:$E$37,4,0)=0,"",VLOOKUP($G42,'STARTOVNÍ LISTINA'!$A$8:$E$37,4,0))))</f>
        <v/>
      </c>
      <c r="E42" s="221" t="str">
        <f>IF($G42=$G41,"",IF(ISERROR(IF(VLOOKUP($G42,PRAC!$A$8:$V$37,14,0)=0,"",VLOOKUP($G42,PRAC!$A$8:$V$37,14,0)))=TRUE,"",IF(VLOOKUP($G42,PRAC!$A$8:$V$37,14,0)=0,"",VLOOKUP($G42,PRAC!$A$8:$V$37,14,0))))</f>
        <v/>
      </c>
      <c r="F42" s="222" t="str">
        <f>IF($G42=$G41,"",IF(ISERROR(IF(VLOOKUP($G42,PRAC!$A$8:$V$37,21,0)=0,"",VLOOKUP($G42,PRAC!$A$8:$V$37,21,0)))=TRUE,"",IF(VLOOKUP($G42,PRAC!$A$8:$V$37,21,0)=0,"",VLOOKUP($G42,PRAC!$A$8:$V$37,21,0))))</f>
        <v/>
      </c>
      <c r="G42" s="223" t="str">
        <f>IF(IF(ISERROR(VLOOKUP(A42,PRAC!$V$8:$Z$37,4,0))=TRUE,"",VLOOKUP(A42,PRAC!$V$8:$Z$37,4,0))=IF(ISERROR(VLOOKUP(A41,PRAC!$V$8:$Z$37,4,0))=TRUE,"",VLOOKUP(A41,PRAC!$V$8:$Z$37,4,0)),"",IF(ISERROR(VLOOKUP(A42,PRAC!$V$8:$Z$37,4,0))=TRUE,"",VLOOKUP(A42,PRAC!$V$8:$Z$37,4,0)))</f>
        <v/>
      </c>
      <c r="H42" s="39"/>
    </row>
    <row r="43" spans="1:8" s="40" customFormat="1" ht="20.100000000000001" customHeight="1" thickBot="1">
      <c r="A43" s="224" t="s">
        <v>130</v>
      </c>
      <c r="B43" s="239" t="str">
        <f>IF($G43=$G42,"",IF(ISERROR(IF(VLOOKUP($G43,'STARTOVNÍ LISTINA'!$A$8:$E$37,2,0)=0,"",VLOOKUP($G43,'STARTOVNÍ LISTINA'!$A$8:$E$37,2,0)))=TRUE,"",IF(VLOOKUP($G43,'STARTOVNÍ LISTINA'!$A$8:$E$37,2,0)=0,"",VLOOKUP($G43,'STARTOVNÍ LISTINA'!$A$8:$E$37,2,0))))</f>
        <v/>
      </c>
      <c r="C43" s="225" t="str">
        <f>IF($G43=$G42,"",IF(ISERROR(IF(VLOOKUP($G43,'STARTOVNÍ LISTINA'!$A$8:$E$37,3,0)=0,"",VLOOKUP($G43,'STARTOVNÍ LISTINA'!$A$8:$E$37,3,0)))=TRUE,"",IF(VLOOKUP($G43,'STARTOVNÍ LISTINA'!$A$8:$E$37,3,0)=0,"",VLOOKUP($G43,'STARTOVNÍ LISTINA'!$A$8:$E$37,3,0))))</f>
        <v/>
      </c>
      <c r="D43" s="226" t="str">
        <f>IF($G43=$G42,"",IF(ISERROR(IF(VLOOKUP($G43,'STARTOVNÍ LISTINA'!$A$8:$E$37,4,0)=0,"",VLOOKUP($G43,'STARTOVNÍ LISTINA'!$A$8:$E$37,4,0)))=TRUE,"",IF(VLOOKUP($G43,'STARTOVNÍ LISTINA'!$A$8:$E$37,4,0)=0,"",VLOOKUP($G43,'STARTOVNÍ LISTINA'!$A$8:$E$37,4,0))))</f>
        <v/>
      </c>
      <c r="E43" s="227" t="str">
        <f>IF($G43=$G42,"",IF(ISERROR(IF(VLOOKUP($G43,PRAC!$A$8:$V$37,14,0)=0,"",VLOOKUP($G43,PRAC!$A$8:$V$37,14,0)))=TRUE,"",IF(VLOOKUP($G43,PRAC!$A$8:$V$37,14,0)=0,"",VLOOKUP($G43,PRAC!$A$8:$V$37,14,0))))</f>
        <v/>
      </c>
      <c r="F43" s="228" t="str">
        <f>IF($G43=$G42,"",IF(ISERROR(IF(VLOOKUP($G43,PRAC!$A$8:$V$37,21,0)=0,"",VLOOKUP($G43,PRAC!$A$8:$V$37,21,0)))=TRUE,"",IF(VLOOKUP($G43,PRAC!$A$8:$V$37,21,0)=0,"",VLOOKUP($G43,PRAC!$A$8:$V$37,21,0))))</f>
        <v/>
      </c>
      <c r="G43" s="229" t="str">
        <f>IF(IF(ISERROR(VLOOKUP(A43,PRAC!$V$8:$Z$37,4,0))=TRUE,"",VLOOKUP(A43,PRAC!$V$8:$Z$37,4,0))=IF(ISERROR(VLOOKUP(A42,PRAC!$V$8:$Z$37,4,0))=TRUE,"",VLOOKUP(A42,PRAC!$V$8:$Z$37,4,0)),"",IF(ISERROR(VLOOKUP(A43,PRAC!$V$8:$Z$37,4,0))=TRUE,"",VLOOKUP(A43,PRAC!$V$8:$Z$37,4,0)))</f>
        <v/>
      </c>
      <c r="H43" s="39"/>
    </row>
    <row r="44" spans="1:8"/>
    <row r="45" spans="1:8" hidden="1"/>
    <row r="46" spans="1:8" hidden="1"/>
    <row r="47" spans="1:8" hidden="1"/>
    <row r="48" spans="1:8" hidden="1"/>
    <row r="49" spans="9:232" s="33" customFormat="1" hidden="1"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</row>
    <row r="50" spans="9:232" s="33" customFormat="1" hidden="1"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</row>
    <row r="51" spans="9:232" s="33" customFormat="1" hidden="1"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</row>
    <row r="52" spans="9:232" s="33" customFormat="1" hidden="1"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</row>
    <row r="53" spans="9:232" s="33" customFormat="1" hidden="1"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9:232" s="33" customFormat="1" hidden="1"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</row>
    <row r="55" spans="9:232" s="33" customFormat="1" hidden="1"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</row>
    <row r="56" spans="9:232" s="33" customFormat="1" hidden="1"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</row>
    <row r="57" spans="9:232" s="33" customFormat="1" hidden="1"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</row>
    <row r="58" spans="9:232" s="33" customFormat="1" hidden="1"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</row>
    <row r="59" spans="9:232" s="33" customFormat="1" hidden="1"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</row>
    <row r="60" spans="9:232" s="33" customFormat="1" hidden="1"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</row>
    <row r="61" spans="9:232" s="33" customFormat="1" hidden="1"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</row>
    <row r="62" spans="9:232" s="33" customFormat="1" hidden="1"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</row>
    <row r="63" spans="9:232" s="33" customFormat="1" hidden="1"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</row>
    <row r="64" spans="9:232" s="33" customFormat="1" hidden="1"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</row>
    <row r="65" spans="9:232" s="33" customFormat="1" hidden="1"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</row>
    <row r="66" spans="9:232" s="33" customFormat="1" hidden="1"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</row>
    <row r="67" spans="9:232" s="33" customFormat="1" hidden="1"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</row>
    <row r="68" spans="9:232" s="33" customFormat="1" hidden="1"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9:232" s="33" customFormat="1" hidden="1"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</row>
    <row r="70" spans="9:232" s="33" customFormat="1" hidden="1"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</row>
    <row r="71" spans="9:232" s="33" customFormat="1" hidden="1"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</row>
    <row r="72" spans="9:232" ht="15" hidden="1" customHeight="1"/>
    <row r="73" spans="9:232" ht="15" hidden="1" customHeight="1"/>
    <row r="74" spans="9:232" ht="15" hidden="1" customHeight="1"/>
    <row r="75" spans="9:232" ht="15" hidden="1" customHeight="1"/>
    <row r="76" spans="9:232" ht="15" hidden="1" customHeight="1"/>
    <row r="77" spans="9:232" ht="15" hidden="1" customHeight="1"/>
    <row r="78" spans="9:232" ht="15" hidden="1" customHeight="1"/>
  </sheetData>
  <sheetProtection selectLockedCells="1"/>
  <phoneticPr fontId="27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50"/>
  <sheetViews>
    <sheetView zoomScale="85" zoomScaleNormal="100" workbookViewId="0">
      <selection activeCell="B14" sqref="B14"/>
    </sheetView>
  </sheetViews>
  <sheetFormatPr defaultColWidth="0" defaultRowHeight="0" customHeight="1" zeroHeight="1"/>
  <cols>
    <col min="1" max="1" width="9.77734375" style="33" customWidth="1"/>
    <col min="2" max="2" width="39.33203125" style="33" bestFit="1" customWidth="1"/>
    <col min="3" max="3" width="19.109375" style="33" bestFit="1" customWidth="1"/>
    <col min="4" max="4" width="27.77734375" style="33" bestFit="1" customWidth="1"/>
    <col min="5" max="5" width="10.88671875" style="33" customWidth="1"/>
    <col min="6" max="6" width="10.109375" style="33" customWidth="1"/>
    <col min="7" max="7" width="1.77734375" style="33" customWidth="1"/>
    <col min="8" max="16384" width="8.88671875" style="34" hidden="1"/>
  </cols>
  <sheetData>
    <row r="1" spans="1:30" ht="30">
      <c r="A1" s="30" t="s">
        <v>23</v>
      </c>
      <c r="B1" s="31"/>
      <c r="C1" s="31"/>
      <c r="D1" s="31"/>
      <c r="E1" s="31"/>
      <c r="F1" s="32"/>
    </row>
    <row r="2" spans="1:30" s="38" customFormat="1" ht="18">
      <c r="A2" s="35" t="s">
        <v>62</v>
      </c>
      <c r="B2" s="35"/>
      <c r="C2" s="35"/>
      <c r="D2" s="35"/>
      <c r="E2" s="35"/>
      <c r="F2" s="36"/>
      <c r="G2" s="37"/>
    </row>
    <row r="3" spans="1:30" s="40" customFormat="1" ht="15">
      <c r="A3" s="39"/>
      <c r="B3" s="39"/>
      <c r="C3" s="39"/>
      <c r="D3" s="39"/>
      <c r="E3" s="39"/>
      <c r="F3" s="39"/>
      <c r="G3" s="39"/>
    </row>
    <row r="4" spans="1:30" s="40" customFormat="1" ht="15">
      <c r="A4" s="41" t="s">
        <v>146</v>
      </c>
      <c r="B4" s="39"/>
      <c r="C4" s="39"/>
      <c r="D4" s="39"/>
      <c r="E4" s="39"/>
      <c r="F4" s="42" t="s">
        <v>145</v>
      </c>
      <c r="G4" s="39"/>
    </row>
    <row r="5" spans="1:30" s="40" customFormat="1" ht="15.75" thickBot="1">
      <c r="A5" s="39"/>
      <c r="B5" s="39"/>
      <c r="C5" s="39"/>
      <c r="D5" s="39"/>
      <c r="E5" s="39"/>
      <c r="F5" s="39"/>
      <c r="G5" s="39"/>
    </row>
    <row r="6" spans="1:30" s="40" customFormat="1" ht="35.1" customHeight="1" thickBot="1">
      <c r="A6" s="43" t="s">
        <v>12</v>
      </c>
      <c r="B6" s="44" t="s">
        <v>1</v>
      </c>
      <c r="C6" s="44" t="s">
        <v>2</v>
      </c>
      <c r="D6" s="45" t="s">
        <v>3</v>
      </c>
      <c r="E6" s="45" t="s">
        <v>5</v>
      </c>
      <c r="F6" s="46" t="s">
        <v>0</v>
      </c>
      <c r="G6" s="39"/>
    </row>
    <row r="7" spans="1:30" s="40" customFormat="1" ht="20.100000000000001" customHeight="1">
      <c r="A7" s="195">
        <v>1</v>
      </c>
      <c r="B7" s="190" t="str">
        <f>IF($F7="","",VLOOKUP($F7,PRAC!$A$8:$X$37,2,0))</f>
        <v>ZGOLA Marián, ppráp.</v>
      </c>
      <c r="C7" s="191" t="str">
        <f>IF($F7="","",VLOOKUP($F7,PRAC!$A$8:$X$37,3,0))</f>
        <v>LAPAZ 21</v>
      </c>
      <c r="D7" s="192" t="str">
        <f>IF($F7="","",VLOOKUP($F7,PRAC!$A$8:$X$37,4,0))</f>
        <v>SLOVENSKO, Košice</v>
      </c>
      <c r="E7" s="207">
        <f>IF(ISERROR(SMALL('STARTOVNÍ LISTINA (3)'!$E$7:$E$21,PRUBEZNA_3!A7))=TRUE,"",SMALL('STARTOVNÍ LISTINA (3)'!$E$7:$E$21,PRUBEZNA_3!A7))</f>
        <v>3.8414351851851847E-4</v>
      </c>
      <c r="F7" s="208">
        <f>IF(E7="","",VLOOKUP(E7,'STARTOVNÍ LISTINA (3)'!$E$7:$G$21,3,0))</f>
        <v>4</v>
      </c>
      <c r="G7" s="39"/>
      <c r="H7" s="40">
        <f>SUM(PRAC!M10,PRAC!V10)</f>
        <v>14</v>
      </c>
      <c r="I7" s="4" t="e">
        <f>IF(K7="",100,SUM(PRAC!#REF!,PRAC!#REF!))</f>
        <v>#REF!</v>
      </c>
      <c r="J7" s="4" t="e">
        <f t="shared" ref="J7:J21" si="0">SMALL($I$7:$I$21,N7)</f>
        <v>#REF!</v>
      </c>
      <c r="K7" s="40" t="str">
        <f>IF('STARTOVNÍ LISTINA (1)'!B11="","",'STARTOVNÍ LISTINA (1)'!B11)</f>
        <v>SZIVACKI Joszef Tibor</v>
      </c>
      <c r="L7" s="40" t="str">
        <f>IF('STARTOVNÍ LISTINA (1)'!D11="","",'STARTOVNÍ LISTINA (1)'!D11)</f>
        <v>VELÚR</v>
      </c>
      <c r="M7" s="40" t="str">
        <f>IF('STARTOVNÍ LISTINA (1)'!E11="","",'STARTOVNÍ LISTINA (1)'!E11)</f>
        <v>MAĎARSKO</v>
      </c>
      <c r="N7" s="40">
        <f>IF('STARTOVNÍ LISTINA (1)'!A11="","",'STARTOVNÍ LISTINA (1)'!A11)</f>
        <v>3</v>
      </c>
      <c r="Q7" s="61" t="e">
        <f t="shared" ref="Q7:Q21" si="1">VLOOKUP(J7,$I$7:$N$21,6,0)</f>
        <v>#REF!</v>
      </c>
      <c r="R7" s="40" t="e">
        <f t="shared" ref="R7:R21" si="2">VLOOKUP(J7,$I$7:$N$21,3,0)</f>
        <v>#REF!</v>
      </c>
      <c r="S7" s="40" t="e">
        <f t="shared" ref="S7:S21" si="3">VLOOKUP(J7,$I$7:$N$21,4,0)</f>
        <v>#REF!</v>
      </c>
      <c r="T7" s="40" t="e">
        <f t="shared" ref="T7:T21" si="4">VLOOKUP(J7,$I$7:$N$21,5,0)</f>
        <v>#REF!</v>
      </c>
      <c r="Y7" s="40" t="e">
        <f t="shared" ref="Y7:Y20" si="5">IF(R7="","",N7)</f>
        <v>#REF!</v>
      </c>
      <c r="Z7" s="40" t="e">
        <f t="shared" ref="Z7:Z21" si="6">IF(Y7="","",LARGE($Y$7:$Y$21,Y7))</f>
        <v>#REF!</v>
      </c>
      <c r="AA7" s="40" t="e">
        <f t="shared" ref="AA7:AA21" si="7">IF(Y7="","",VLOOKUP(Z7,$N$7:$T$21,4,0))</f>
        <v>#REF!</v>
      </c>
      <c r="AB7" s="40" t="e">
        <f t="shared" ref="AB7:AB21" si="8">IF(Y7="","",VLOOKUP(Z7,$N$7:$T$21,5,0))</f>
        <v>#REF!</v>
      </c>
      <c r="AC7" s="40" t="e">
        <f t="shared" ref="AC7:AC21" si="9">IF(Y7="","",VLOOKUP(Z7,$N$7:$T$21,6,0))</f>
        <v>#REF!</v>
      </c>
      <c r="AD7" s="40" t="e">
        <f t="shared" ref="AD7:AD21" si="10">IF(Y7="","",VLOOKUP(Z7,$N$7:$T$21,7,0))</f>
        <v>#REF!</v>
      </c>
    </row>
    <row r="8" spans="1:30" s="40" customFormat="1" ht="20.100000000000001" customHeight="1">
      <c r="A8" s="189">
        <v>2</v>
      </c>
      <c r="B8" s="190" t="str">
        <f>IF($F8="","",VLOOKUP($F8,PRAC!$A$8:$X$37,2,0))</f>
        <v>HORNÍK Martin, str. Ing.</v>
      </c>
      <c r="C8" s="191" t="str">
        <f>IF($F8="","",VLOOKUP($F8,PRAC!$A$8:$X$37,3,0))</f>
        <v>SACRAMOSO XANTA ALBA</v>
      </c>
      <c r="D8" s="192" t="str">
        <f>IF($F8="","",VLOOKUP($F8,PRAC!$A$8:$X$37,4,0))</f>
        <v>MP Praha</v>
      </c>
      <c r="E8" s="209">
        <f>IF(ISERROR(SMALL('STARTOVNÍ LISTINA (3)'!$E$7:$E$21,PRUBEZNA_3!A8))=TRUE,"",SMALL('STARTOVNÍ LISTINA (3)'!$E$7:$E$21,PRUBEZNA_3!A8))</f>
        <v>3.8634259259259259E-4</v>
      </c>
      <c r="F8" s="210">
        <f>IF(E8="","",VLOOKUP(E8,'STARTOVNÍ LISTINA (3)'!$E$7:$G$21,3,0))</f>
        <v>20</v>
      </c>
      <c r="G8" s="39"/>
      <c r="H8" s="40">
        <f ca="1">SUM(PRAC!M17,PRAC!V17)</f>
        <v>25</v>
      </c>
      <c r="I8" s="4" t="e">
        <f>IF(K8="",100,SUM(PRAC!#REF!,PRAC!#REF!))</f>
        <v>#REF!</v>
      </c>
      <c r="J8" s="4" t="e">
        <f t="shared" si="0"/>
        <v>#REF!</v>
      </c>
      <c r="K8" s="40" t="str">
        <f>IF('STARTOVNÍ LISTINA (1)'!B18="","",'STARTOVNÍ LISTINA (1)'!B18)</f>
        <v>BUROV Roman</v>
      </c>
      <c r="L8" s="40" t="str">
        <f>IF('STARTOVNÍ LISTINA (1)'!D18="","",'STARTOVNÍ LISTINA (1)'!D18)</f>
        <v>BOSS (KŘP JMK)</v>
      </c>
      <c r="M8" s="40" t="str">
        <f>IF('STARTOVNÍ LISTINA (1)'!E18="","",'STARTOVNÍ LISTINA (1)'!E18)</f>
        <v>RUSKO, Moskva</v>
      </c>
      <c r="N8" s="40">
        <f>IF('STARTOVNÍ LISTINA (1)'!A18="","",'STARTOVNÍ LISTINA (1)'!A18)</f>
        <v>10</v>
      </c>
      <c r="Q8" s="61" t="e">
        <f t="shared" si="1"/>
        <v>#REF!</v>
      </c>
      <c r="R8" s="40" t="e">
        <f t="shared" si="2"/>
        <v>#REF!</v>
      </c>
      <c r="S8" s="40" t="e">
        <f t="shared" si="3"/>
        <v>#REF!</v>
      </c>
      <c r="T8" s="40" t="e">
        <f t="shared" si="4"/>
        <v>#REF!</v>
      </c>
      <c r="Y8" s="40" t="e">
        <f t="shared" si="5"/>
        <v>#REF!</v>
      </c>
      <c r="Z8" s="40" t="e">
        <f t="shared" si="6"/>
        <v>#REF!</v>
      </c>
      <c r="AA8" s="40" t="e">
        <f t="shared" si="7"/>
        <v>#REF!</v>
      </c>
      <c r="AB8" s="40" t="e">
        <f t="shared" si="8"/>
        <v>#REF!</v>
      </c>
      <c r="AC8" s="40" t="e">
        <f t="shared" si="9"/>
        <v>#REF!</v>
      </c>
      <c r="AD8" s="40" t="e">
        <f t="shared" si="10"/>
        <v>#REF!</v>
      </c>
    </row>
    <row r="9" spans="1:30" s="40" customFormat="1" ht="20.100000000000001" customHeight="1">
      <c r="A9" s="189">
        <v>3</v>
      </c>
      <c r="B9" s="190" t="str">
        <f>IF($F9="","",VLOOKUP($F9,PRAC!$A$8:$X$37,2,0))</f>
        <v>NOVÁK Tomáš, str.</v>
      </c>
      <c r="C9" s="191" t="str">
        <f>IF($F9="","",VLOOKUP($F9,PRAC!$A$8:$X$37,3,0))</f>
        <v>SOLO PANDORA</v>
      </c>
      <c r="D9" s="192" t="str">
        <f>IF($F9="","",VLOOKUP($F9,PRAC!$A$8:$X$37,4,0))</f>
        <v>MP Ostrava</v>
      </c>
      <c r="E9" s="209">
        <f>IF(ISERROR(SMALL('STARTOVNÍ LISTINA (3)'!$E$7:$E$21,PRUBEZNA_3!A9))=TRUE,"",SMALL('STARTOVNÍ LISTINA (3)'!$E$7:$E$21,PRUBEZNA_3!A9))</f>
        <v>3.8773148148148152E-4</v>
      </c>
      <c r="F9" s="211">
        <f>IF(E9="","",VLOOKUP(E9,'STARTOVNÍ LISTINA (3)'!$E$7:$G$21,3,0))</f>
        <v>7</v>
      </c>
      <c r="G9" s="39"/>
      <c r="H9" s="40">
        <f ca="1">SUM(PRAC!M11,PRAC!V11)</f>
        <v>30</v>
      </c>
      <c r="I9" s="4" t="e">
        <f>IF(K9="",100,SUM(PRAC!#REF!,PRAC!#REF!))</f>
        <v>#REF!</v>
      </c>
      <c r="J9" s="4" t="e">
        <f t="shared" si="0"/>
        <v>#REF!</v>
      </c>
      <c r="K9" s="40" t="str">
        <f>IF('STARTOVNÍ LISTINA (1)'!B12="","",'STARTOVNÍ LISTINA (1)'!B12)</f>
        <v>ZGOLA Marián, ppráp.</v>
      </c>
      <c r="L9" s="40" t="str">
        <f>IF('STARTOVNÍ LISTINA (1)'!D12="","",'STARTOVNÍ LISTINA (1)'!D12)</f>
        <v>LAPAZ 21</v>
      </c>
      <c r="M9" s="40" t="str">
        <f>IF('STARTOVNÍ LISTINA (1)'!E12="","",'STARTOVNÍ LISTINA (1)'!E12)</f>
        <v>SLOVENSKO, Košice</v>
      </c>
      <c r="N9" s="40">
        <f>IF('STARTOVNÍ LISTINA (1)'!A12="","",'STARTOVNÍ LISTINA (1)'!A12)</f>
        <v>4</v>
      </c>
      <c r="Q9" s="61" t="e">
        <f t="shared" si="1"/>
        <v>#REF!</v>
      </c>
      <c r="R9" s="40" t="e">
        <f t="shared" si="2"/>
        <v>#REF!</v>
      </c>
      <c r="S9" s="40" t="e">
        <f t="shared" si="3"/>
        <v>#REF!</v>
      </c>
      <c r="T9" s="40" t="e">
        <f t="shared" si="4"/>
        <v>#REF!</v>
      </c>
      <c r="Y9" s="40" t="e">
        <f t="shared" si="5"/>
        <v>#REF!</v>
      </c>
      <c r="Z9" s="40" t="e">
        <f t="shared" si="6"/>
        <v>#REF!</v>
      </c>
      <c r="AA9" s="40" t="e">
        <f t="shared" si="7"/>
        <v>#REF!</v>
      </c>
      <c r="AB9" s="40" t="e">
        <f t="shared" si="8"/>
        <v>#REF!</v>
      </c>
      <c r="AC9" s="40" t="e">
        <f t="shared" si="9"/>
        <v>#REF!</v>
      </c>
      <c r="AD9" s="40" t="e">
        <f t="shared" si="10"/>
        <v>#REF!</v>
      </c>
    </row>
    <row r="10" spans="1:30" s="40" customFormat="1" ht="20.100000000000001" customHeight="1">
      <c r="A10" s="62">
        <v>4</v>
      </c>
      <c r="B10" s="28" t="str">
        <f>IF($F10="","",VLOOKUP($F10,PRAC!$A$8:$X$37,2,0))</f>
        <v>SVOBODA Lukáš, nstržm.</v>
      </c>
      <c r="C10" s="52" t="str">
        <f>IF($F10="","",VLOOKUP($F10,PRAC!$A$8:$X$37,3,0))</f>
        <v>SANTÉ</v>
      </c>
      <c r="D10" s="51" t="str">
        <f>IF($F10="","",VLOOKUP($F10,PRAC!$A$8:$X$37,4,0))</f>
        <v>KŘP hlavního města Prahy</v>
      </c>
      <c r="E10" s="71">
        <f>IF(ISERROR(SMALL('STARTOVNÍ LISTINA (3)'!$E$7:$E$21,PRUBEZNA_3!A10))=TRUE,"",SMALL('STARTOVNÍ LISTINA (3)'!$E$7:$E$21,PRUBEZNA_3!A10))</f>
        <v>3.960648148148148E-4</v>
      </c>
      <c r="F10" s="206">
        <f>IF(E10="","",VLOOKUP(E10,'STARTOVNÍ LISTINA (3)'!$E$7:$G$21,3,0))</f>
        <v>17</v>
      </c>
      <c r="G10" s="39"/>
      <c r="H10" s="40">
        <f>SUM(PRAC!M16,PRAC!V16)</f>
        <v>19</v>
      </c>
      <c r="I10" s="4" t="e">
        <f>IF(K10="",100,SUM(PRAC!#REF!,PRAC!#REF!))</f>
        <v>#REF!</v>
      </c>
      <c r="J10" s="4" t="e">
        <f t="shared" si="0"/>
        <v>#REF!</v>
      </c>
      <c r="K10" s="40" t="str">
        <f>IF('STARTOVNÍ LISTINA (1)'!B17="","",'STARTOVNÍ LISTINA (1)'!B17)</f>
        <v>KUROPATNICKÁ Zuzana, nstržm.</v>
      </c>
      <c r="L10" s="40" t="str">
        <f>IF('STARTOVNÍ LISTINA (1)'!D17="","",'STARTOVNÍ LISTINA (1)'!D17)</f>
        <v>CASSIUS</v>
      </c>
      <c r="M10" s="40" t="str">
        <f>IF('STARTOVNÍ LISTINA (1)'!E17="","",'STARTOVNÍ LISTINA (1)'!E17)</f>
        <v>KŘP hlavního města Prahy</v>
      </c>
      <c r="N10" s="40">
        <f>IF('STARTOVNÍ LISTINA (1)'!A17="","",'STARTOVNÍ LISTINA (1)'!A17)</f>
        <v>9</v>
      </c>
      <c r="Q10" s="61" t="e">
        <f t="shared" si="1"/>
        <v>#REF!</v>
      </c>
      <c r="R10" s="40" t="e">
        <f t="shared" si="2"/>
        <v>#REF!</v>
      </c>
      <c r="S10" s="40" t="e">
        <f t="shared" si="3"/>
        <v>#REF!</v>
      </c>
      <c r="T10" s="40" t="e">
        <f t="shared" si="4"/>
        <v>#REF!</v>
      </c>
      <c r="Y10" s="40" t="e">
        <f t="shared" si="5"/>
        <v>#REF!</v>
      </c>
      <c r="Z10" s="40" t="e">
        <f t="shared" si="6"/>
        <v>#REF!</v>
      </c>
      <c r="AA10" s="40" t="e">
        <f t="shared" si="7"/>
        <v>#REF!</v>
      </c>
      <c r="AB10" s="40" t="e">
        <f t="shared" si="8"/>
        <v>#REF!</v>
      </c>
      <c r="AC10" s="40" t="e">
        <f t="shared" si="9"/>
        <v>#REF!</v>
      </c>
      <c r="AD10" s="40" t="e">
        <f t="shared" si="10"/>
        <v>#REF!</v>
      </c>
    </row>
    <row r="11" spans="1:30" s="40" customFormat="1" ht="20.100000000000001" customHeight="1">
      <c r="A11" s="62">
        <v>5</v>
      </c>
      <c r="B11" s="28" t="str">
        <f>IF($F11="","",VLOOKUP($F11,PRAC!$A$8:$X$37,2,0))</f>
        <v>ZEDNÍČEK Libor, str.</v>
      </c>
      <c r="C11" s="52" t="str">
        <f>IF($F11="","",VLOOKUP($F11,PRAC!$A$8:$X$37,3,0))</f>
        <v>SOLO MACARENA</v>
      </c>
      <c r="D11" s="51" t="str">
        <f>IF($F11="","",VLOOKUP($F11,PRAC!$A$8:$X$37,4,0))</f>
        <v>MP Ostrava</v>
      </c>
      <c r="E11" s="71">
        <f>IF(ISERROR(SMALL('STARTOVNÍ LISTINA (3)'!$E$7:$E$21,PRUBEZNA_3!A11))=TRUE,"",SMALL('STARTOVNÍ LISTINA (3)'!$E$7:$E$21,PRUBEZNA_3!A11))</f>
        <v>3.979166666666667E-4</v>
      </c>
      <c r="F11" s="206">
        <f>IF(E11="","",VLOOKUP(E11,'STARTOVNÍ LISTINA (3)'!$E$7:$G$21,3,0))</f>
        <v>18</v>
      </c>
      <c r="G11" s="39"/>
      <c r="H11" s="40">
        <f ca="1">SUM(PRAC!M14,PRAC!V14)</f>
        <v>22</v>
      </c>
      <c r="I11" s="4" t="e">
        <f>IF(K11="",100,SUM(PRAC!#REF!,PRAC!#REF!))</f>
        <v>#REF!</v>
      </c>
      <c r="J11" s="4" t="e">
        <f t="shared" si="0"/>
        <v>#REF!</v>
      </c>
      <c r="K11" s="40" t="str">
        <f>IF('STARTOVNÍ LISTINA (1)'!B15="","",'STARTOVNÍ LISTINA (1)'!B15)</f>
        <v>NOVÁK Tomáš, str.</v>
      </c>
      <c r="L11" s="40" t="str">
        <f>IF('STARTOVNÍ LISTINA (1)'!D15="","",'STARTOVNÍ LISTINA (1)'!D15)</f>
        <v>SOLO PANDORA</v>
      </c>
      <c r="M11" s="40" t="str">
        <f>IF('STARTOVNÍ LISTINA (1)'!E15="","",'STARTOVNÍ LISTINA (1)'!E15)</f>
        <v>MP Ostrava</v>
      </c>
      <c r="N11" s="40">
        <f>IF('STARTOVNÍ LISTINA (1)'!A15="","",'STARTOVNÍ LISTINA (1)'!A15)</f>
        <v>7</v>
      </c>
      <c r="Q11" s="61" t="e">
        <f t="shared" si="1"/>
        <v>#REF!</v>
      </c>
      <c r="R11" s="40" t="e">
        <f t="shared" si="2"/>
        <v>#REF!</v>
      </c>
      <c r="S11" s="40" t="e">
        <f t="shared" si="3"/>
        <v>#REF!</v>
      </c>
      <c r="T11" s="40" t="e">
        <f t="shared" si="4"/>
        <v>#REF!</v>
      </c>
      <c r="Y11" s="40" t="e">
        <f t="shared" si="5"/>
        <v>#REF!</v>
      </c>
      <c r="Z11" s="40" t="e">
        <f t="shared" si="6"/>
        <v>#REF!</v>
      </c>
      <c r="AA11" s="40" t="e">
        <f t="shared" si="7"/>
        <v>#REF!</v>
      </c>
      <c r="AB11" s="40" t="e">
        <f t="shared" si="8"/>
        <v>#REF!</v>
      </c>
      <c r="AC11" s="40" t="e">
        <f t="shared" si="9"/>
        <v>#REF!</v>
      </c>
      <c r="AD11" s="40" t="e">
        <f t="shared" si="10"/>
        <v>#REF!</v>
      </c>
    </row>
    <row r="12" spans="1:30" s="40" customFormat="1" ht="20.100000000000001" customHeight="1">
      <c r="A12" s="62">
        <v>6</v>
      </c>
      <c r="B12" s="28" t="str">
        <f>IF($F12="","",VLOOKUP($F12,PRAC!$A$8:$X$37,2,0))</f>
        <v>PILKO Stephan</v>
      </c>
      <c r="C12" s="52" t="str">
        <f>IF($F12="","",VLOOKUP($F12,PRAC!$A$8:$X$37,3,0))</f>
        <v>QUICK STEP</v>
      </c>
      <c r="D12" s="51" t="str">
        <f>IF($F12="","",VLOOKUP($F12,PRAC!$A$8:$X$37,4,0))</f>
        <v>NĚMECKO, Sasko</v>
      </c>
      <c r="E12" s="71">
        <f>IF(ISERROR(SMALL('STARTOVNÍ LISTINA (3)'!$E$7:$E$21,PRUBEZNA_3!A12))=TRUE,"",SMALL('STARTOVNÍ LISTINA (3)'!$E$7:$E$21,PRUBEZNA_3!A12))</f>
        <v>4.1782407407407409E-4</v>
      </c>
      <c r="F12" s="206">
        <f>IF(E12="","",VLOOKUP(E12,'STARTOVNÍ LISTINA (3)'!$E$7:$G$21,3,0))</f>
        <v>16</v>
      </c>
      <c r="G12" s="39"/>
      <c r="H12" s="40">
        <f ca="1">SUM(PRAC!M8,PRAC!V8)</f>
        <v>7</v>
      </c>
      <c r="I12" s="4" t="e">
        <f>IF(K12="",100,SUM(PRAC!#REF!,PRAC!#REF!))</f>
        <v>#REF!</v>
      </c>
      <c r="J12" s="4" t="e">
        <f t="shared" si="0"/>
        <v>#REF!</v>
      </c>
      <c r="K12" s="40" t="str">
        <f>IF('STARTOVNÍ LISTINA (1)'!B9="","",'STARTOVNÍ LISTINA (1)'!B9)</f>
        <v>SLEZÁK Michal, nstržm. Ing.</v>
      </c>
      <c r="L12" s="40" t="str">
        <f>IF('STARTOVNÍ LISTINA (1)'!D9="","",'STARTOVNÍ LISTINA (1)'!D9)</f>
        <v>ENRICO</v>
      </c>
      <c r="M12" s="40" t="str">
        <f>IF('STARTOVNÍ LISTINA (1)'!E9="","",'STARTOVNÍ LISTINA (1)'!E9)</f>
        <v>KŘP Jihomoravského kraje</v>
      </c>
      <c r="N12" s="40">
        <f>IF('STARTOVNÍ LISTINA (1)'!A9="","",'STARTOVNÍ LISTINA (1)'!A9)</f>
        <v>1</v>
      </c>
      <c r="Q12" s="61" t="e">
        <f t="shared" si="1"/>
        <v>#REF!</v>
      </c>
      <c r="R12" s="40" t="e">
        <f t="shared" si="2"/>
        <v>#REF!</v>
      </c>
      <c r="S12" s="40" t="e">
        <f t="shared" si="3"/>
        <v>#REF!</v>
      </c>
      <c r="T12" s="40" t="e">
        <f t="shared" si="4"/>
        <v>#REF!</v>
      </c>
      <c r="Y12" s="40" t="e">
        <f t="shared" si="5"/>
        <v>#REF!</v>
      </c>
      <c r="Z12" s="40" t="e">
        <f t="shared" si="6"/>
        <v>#REF!</v>
      </c>
      <c r="AA12" s="40" t="e">
        <f t="shared" si="7"/>
        <v>#REF!</v>
      </c>
      <c r="AB12" s="40" t="e">
        <f t="shared" si="8"/>
        <v>#REF!</v>
      </c>
      <c r="AC12" s="40" t="e">
        <f t="shared" si="9"/>
        <v>#REF!</v>
      </c>
      <c r="AD12" s="40" t="e">
        <f t="shared" si="10"/>
        <v>#REF!</v>
      </c>
    </row>
    <row r="13" spans="1:30" s="40" customFormat="1" ht="20.100000000000001" customHeight="1">
      <c r="A13" s="62">
        <v>7</v>
      </c>
      <c r="B13" s="28" t="str">
        <f>IF($F13="","",VLOOKUP($F13,PRAC!$A$8:$X$37,2,0))</f>
        <v>JOHN Přemysl, nstržm.</v>
      </c>
      <c r="C13" s="52" t="str">
        <f>IF($F13="","",VLOOKUP($F13,PRAC!$A$8:$X$37,3,0))</f>
        <v>DERWISZ</v>
      </c>
      <c r="D13" s="51" t="str">
        <f>IF($F13="","",VLOOKUP($F13,PRAC!$A$8:$X$37,4,0))</f>
        <v>KŘP Jihomoravského kraje</v>
      </c>
      <c r="E13" s="71">
        <f>IF(ISERROR(SMALL('STARTOVNÍ LISTINA (3)'!$E$7:$E$21,PRUBEZNA_3!A13))=TRUE,"",SMALL('STARTOVNÍ LISTINA (3)'!$E$7:$E$21,PRUBEZNA_3!A13))</f>
        <v>4.3333333333333331E-4</v>
      </c>
      <c r="F13" s="206">
        <f>IF(E13="","",VLOOKUP(E13,'STARTOVNÍ LISTINA (3)'!$E$7:$G$21,3,0))</f>
        <v>21</v>
      </c>
      <c r="G13" s="39"/>
      <c r="H13" s="40">
        <f>SUM(PRAC!M12,PRAC!V12)</f>
        <v>20</v>
      </c>
      <c r="I13" s="4" t="e">
        <f>IF(K13="",100,SUM(PRAC!#REF!,PRAC!#REF!))</f>
        <v>#REF!</v>
      </c>
      <c r="J13" s="4" t="e">
        <f t="shared" si="0"/>
        <v>#REF!</v>
      </c>
      <c r="K13" s="40" t="str">
        <f>IF('STARTOVNÍ LISTINA (1)'!B13="","",'STARTOVNÍ LISTINA (1)'!B13)</f>
        <v>GASPÁR György</v>
      </c>
      <c r="L13" s="40" t="str">
        <f>IF('STARTOVNÍ LISTINA (1)'!D13="","",'STARTOVNÍ LISTINA (1)'!D13)</f>
        <v>RUBIN</v>
      </c>
      <c r="M13" s="40" t="str">
        <f>IF('STARTOVNÍ LISTINA (1)'!E13="","",'STARTOVNÍ LISTINA (1)'!E13)</f>
        <v>MAĎARSKO</v>
      </c>
      <c r="N13" s="40">
        <f>IF('STARTOVNÍ LISTINA (1)'!A13="","",'STARTOVNÍ LISTINA (1)'!A13)</f>
        <v>5</v>
      </c>
      <c r="Q13" s="61" t="e">
        <f t="shared" si="1"/>
        <v>#REF!</v>
      </c>
      <c r="R13" s="40" t="e">
        <f t="shared" si="2"/>
        <v>#REF!</v>
      </c>
      <c r="S13" s="40" t="e">
        <f t="shared" si="3"/>
        <v>#REF!</v>
      </c>
      <c r="T13" s="40" t="e">
        <f t="shared" si="4"/>
        <v>#REF!</v>
      </c>
      <c r="Y13" s="40" t="e">
        <f t="shared" si="5"/>
        <v>#REF!</v>
      </c>
      <c r="Z13" s="40" t="e">
        <f t="shared" si="6"/>
        <v>#REF!</v>
      </c>
      <c r="AA13" s="40" t="e">
        <f t="shared" si="7"/>
        <v>#REF!</v>
      </c>
      <c r="AB13" s="40" t="e">
        <f t="shared" si="8"/>
        <v>#REF!</v>
      </c>
      <c r="AC13" s="40" t="e">
        <f t="shared" si="9"/>
        <v>#REF!</v>
      </c>
      <c r="AD13" s="40" t="e">
        <f t="shared" si="10"/>
        <v>#REF!</v>
      </c>
    </row>
    <row r="14" spans="1:30" s="40" customFormat="1" ht="20.100000000000001" customHeight="1">
      <c r="A14" s="62">
        <v>8</v>
      </c>
      <c r="B14" s="28" t="s">
        <v>175</v>
      </c>
      <c r="C14" s="52" t="str">
        <f>IF($F14="","",VLOOKUP($F14,PRAC!$A$8:$X$37,3,0))</f>
        <v>KRISTAL</v>
      </c>
      <c r="D14" s="51" t="str">
        <f>IF($F14="","",VLOOKUP($F14,PRAC!$A$8:$X$37,4,0))</f>
        <v>NĚMECKO, Sasko</v>
      </c>
      <c r="E14" s="71">
        <f>IF(ISERROR(SMALL('STARTOVNÍ LISTINA (3)'!$E$7:$E$21,PRUBEZNA_3!A14))=TRUE,"",SMALL('STARTOVNÍ LISTINA (3)'!$E$7:$E$21,PRUBEZNA_3!A14))</f>
        <v>5.0277777777777777E-4</v>
      </c>
      <c r="F14" s="206">
        <f>IF(E14="","",VLOOKUP(E14,'STARTOVNÍ LISTINA (3)'!$E$7:$G$21,3,0))</f>
        <v>13</v>
      </c>
      <c r="G14" s="39"/>
      <c r="H14" s="40">
        <f ca="1">SUM(PRAC!M9,PRAC!V9)</f>
        <v>2</v>
      </c>
      <c r="I14" s="4" t="e">
        <f>IF(K14="",100,SUM(PRAC!#REF!,PRAC!#REF!))</f>
        <v>#REF!</v>
      </c>
      <c r="J14" s="4" t="e">
        <f t="shared" si="0"/>
        <v>#REF!</v>
      </c>
      <c r="K14" s="40" t="str">
        <f>IF('STARTOVNÍ LISTINA (1)'!B10="","",'STARTOVNÍ LISTINA (1)'!B10)</f>
        <v>ŠEJSTAL Radek, prap.</v>
      </c>
      <c r="L14" s="40" t="str">
        <f>IF('STARTOVNÍ LISTINA (1)'!D10="","",'STARTOVNÍ LISTINA (1)'!D10)</f>
        <v>LISTR</v>
      </c>
      <c r="M14" s="40" t="str">
        <f>IF('STARTOVNÍ LISTINA (1)'!E10="","",'STARTOVNÍ LISTINA (1)'!E10)</f>
        <v>KŘP Jihomoravského kraje</v>
      </c>
      <c r="N14" s="40">
        <f>IF('STARTOVNÍ LISTINA (1)'!A10="","",'STARTOVNÍ LISTINA (1)'!A10)</f>
        <v>2</v>
      </c>
      <c r="Q14" s="61" t="e">
        <f t="shared" si="1"/>
        <v>#REF!</v>
      </c>
      <c r="R14" s="40" t="e">
        <f t="shared" si="2"/>
        <v>#REF!</v>
      </c>
      <c r="S14" s="40" t="e">
        <f t="shared" si="3"/>
        <v>#REF!</v>
      </c>
      <c r="T14" s="40" t="e">
        <f t="shared" si="4"/>
        <v>#REF!</v>
      </c>
      <c r="Y14" s="40" t="e">
        <f t="shared" si="5"/>
        <v>#REF!</v>
      </c>
      <c r="Z14" s="40" t="e">
        <f t="shared" si="6"/>
        <v>#REF!</v>
      </c>
      <c r="AA14" s="40" t="e">
        <f t="shared" si="7"/>
        <v>#REF!</v>
      </c>
      <c r="AB14" s="40" t="e">
        <f t="shared" si="8"/>
        <v>#REF!</v>
      </c>
      <c r="AC14" s="40" t="e">
        <f t="shared" si="9"/>
        <v>#REF!</v>
      </c>
      <c r="AD14" s="40" t="e">
        <f t="shared" si="10"/>
        <v>#REF!</v>
      </c>
    </row>
    <row r="15" spans="1:30" s="40" customFormat="1" ht="20.100000000000001" customHeight="1">
      <c r="A15" s="62">
        <v>9</v>
      </c>
      <c r="B15" s="28" t="str">
        <f>IF($F15="","",VLOOKUP($F15,PRAC!$A$8:$X$37,2,0))</f>
        <v>KUROPATNICKÁ Zuzana, nstržm.</v>
      </c>
      <c r="C15" s="52" t="str">
        <f>IF($F15="","",VLOOKUP($F15,PRAC!$A$8:$X$37,3,0))</f>
        <v>CASSIUS</v>
      </c>
      <c r="D15" s="51" t="str">
        <f>IF($F15="","",VLOOKUP($F15,PRAC!$A$8:$X$37,4,0))</f>
        <v>KŘP hlavního města Prahy</v>
      </c>
      <c r="E15" s="71">
        <f>IF(ISERROR(SMALL('STARTOVNÍ LISTINA (3)'!$E$7:$E$21,PRUBEZNA_3!A15))=TRUE,"",SMALL('STARTOVNÍ LISTINA (3)'!$E$7:$E$21,PRUBEZNA_3!A15))</f>
        <v>5.1655092592592594E-4</v>
      </c>
      <c r="F15" s="206">
        <f>IF(E15="","",VLOOKUP(E15,'STARTOVNÍ LISTINA (3)'!$E$7:$G$21,3,0))</f>
        <v>9</v>
      </c>
      <c r="G15" s="39"/>
      <c r="H15" s="40">
        <f ca="1">SUM(PRAC!M18,PRAC!V18)</f>
        <v>16</v>
      </c>
      <c r="I15" s="4" t="e">
        <f>IF(K15="",100,SUM(PRAC!#REF!,PRAC!#REF!))</f>
        <v>#REF!</v>
      </c>
      <c r="J15" s="4" t="e">
        <f t="shared" si="0"/>
        <v>#REF!</v>
      </c>
      <c r="K15" s="40" t="str">
        <f>IF('STARTOVNÍ LISTINA (1)'!B19="","",'STARTOVNÍ LISTINA (1)'!B19)</f>
        <v>VYSLOUŽILOVÁ Martina, pprap.</v>
      </c>
      <c r="L15" s="40" t="str">
        <f>IF('STARTOVNÍ LISTINA (1)'!D19="","",'STARTOVNÍ LISTINA (1)'!D19)</f>
        <v>PRESTIGE</v>
      </c>
      <c r="M15" s="40" t="str">
        <f>IF('STARTOVNÍ LISTINA (1)'!E19="","",'STARTOVNÍ LISTINA (1)'!E19)</f>
        <v>KŘP Jihomoravského kraje</v>
      </c>
      <c r="N15" s="40">
        <f>IF('STARTOVNÍ LISTINA (1)'!A19="","",'STARTOVNÍ LISTINA (1)'!A19)</f>
        <v>11</v>
      </c>
      <c r="Q15" s="61" t="e">
        <f t="shared" si="1"/>
        <v>#REF!</v>
      </c>
      <c r="R15" s="40" t="e">
        <f t="shared" si="2"/>
        <v>#REF!</v>
      </c>
      <c r="S15" s="40" t="e">
        <f t="shared" si="3"/>
        <v>#REF!</v>
      </c>
      <c r="T15" s="40" t="e">
        <f t="shared" si="4"/>
        <v>#REF!</v>
      </c>
      <c r="Y15" s="40" t="e">
        <f t="shared" si="5"/>
        <v>#REF!</v>
      </c>
      <c r="Z15" s="40" t="e">
        <f t="shared" si="6"/>
        <v>#REF!</v>
      </c>
      <c r="AA15" s="40" t="e">
        <f t="shared" si="7"/>
        <v>#REF!</v>
      </c>
      <c r="AB15" s="40" t="e">
        <f t="shared" si="8"/>
        <v>#REF!</v>
      </c>
      <c r="AC15" s="40" t="e">
        <f t="shared" si="9"/>
        <v>#REF!</v>
      </c>
      <c r="AD15" s="40" t="e">
        <f t="shared" si="10"/>
        <v>#REF!</v>
      </c>
    </row>
    <row r="16" spans="1:30" s="40" customFormat="1" ht="20.100000000000001" customHeight="1">
      <c r="A16" s="62">
        <v>10</v>
      </c>
      <c r="B16" s="28" t="str">
        <f>IF($F16="","",VLOOKUP($F16,PRAC!$A$8:$X$37,2,0))</f>
        <v>TRNKOVÁ Simona, str.</v>
      </c>
      <c r="C16" s="52" t="str">
        <f>IF($F16="","",VLOOKUP($F16,PRAC!$A$8:$X$37,3,0))</f>
        <v>SOLO XALA</v>
      </c>
      <c r="D16" s="51" t="str">
        <f>IF($F16="","",VLOOKUP($F16,PRAC!$A$8:$X$37,4,0))</f>
        <v>MP Praha</v>
      </c>
      <c r="E16" s="71">
        <f>IF(ISERROR(SMALL('STARTOVNÍ LISTINA (3)'!$E$7:$E$21,PRUBEZNA_3!A16))=TRUE,"",SMALL('STARTOVNÍ LISTINA (3)'!$E$7:$E$21,PRUBEZNA_3!A16))</f>
        <v>5.4907407407407411E-4</v>
      </c>
      <c r="F16" s="206">
        <f>IF(E16="","",VLOOKUP(E16,'STARTOVNÍ LISTINA (3)'!$E$7:$G$21,3,0))</f>
        <v>12</v>
      </c>
      <c r="G16" s="39"/>
      <c r="H16" s="40">
        <f>SUM(PRAC!M19,PRAC!V19)</f>
        <v>18</v>
      </c>
      <c r="I16" s="4" t="e">
        <f>IF(K16="",100,SUM(PRAC!#REF!,PRAC!#REF!))</f>
        <v>#REF!</v>
      </c>
      <c r="J16" s="4" t="e">
        <f t="shared" si="0"/>
        <v>#REF!</v>
      </c>
      <c r="K16" s="40" t="str">
        <f>IF('STARTOVNÍ LISTINA (1)'!B20="","",'STARTOVNÍ LISTINA (1)'!B20)</f>
        <v>TRNKOVÁ Simona, str.</v>
      </c>
      <c r="L16" s="40" t="str">
        <f>IF('STARTOVNÍ LISTINA (1)'!D20="","",'STARTOVNÍ LISTINA (1)'!D20)</f>
        <v>SOLO XALA</v>
      </c>
      <c r="M16" s="40" t="str">
        <f>IF('STARTOVNÍ LISTINA (1)'!E20="","",'STARTOVNÍ LISTINA (1)'!E20)</f>
        <v>MP Praha</v>
      </c>
      <c r="N16" s="40">
        <f>IF('STARTOVNÍ LISTINA (1)'!A20="","",'STARTOVNÍ LISTINA (1)'!A20)</f>
        <v>12</v>
      </c>
      <c r="Q16" s="61" t="e">
        <f t="shared" si="1"/>
        <v>#REF!</v>
      </c>
      <c r="R16" s="40" t="e">
        <f t="shared" si="2"/>
        <v>#REF!</v>
      </c>
      <c r="S16" s="40" t="e">
        <f t="shared" si="3"/>
        <v>#REF!</v>
      </c>
      <c r="T16" s="40" t="e">
        <f t="shared" si="4"/>
        <v>#REF!</v>
      </c>
      <c r="Y16" s="40" t="e">
        <f t="shared" si="5"/>
        <v>#REF!</v>
      </c>
      <c r="Z16" s="40" t="e">
        <f t="shared" si="6"/>
        <v>#REF!</v>
      </c>
      <c r="AA16" s="40" t="e">
        <f t="shared" si="7"/>
        <v>#REF!</v>
      </c>
      <c r="AB16" s="40" t="e">
        <f t="shared" si="8"/>
        <v>#REF!</v>
      </c>
      <c r="AC16" s="40" t="e">
        <f t="shared" si="9"/>
        <v>#REF!</v>
      </c>
      <c r="AD16" s="40" t="e">
        <f t="shared" si="10"/>
        <v>#REF!</v>
      </c>
    </row>
    <row r="17" spans="1:30" s="40" customFormat="1" ht="20.100000000000001" customHeight="1">
      <c r="A17" s="62">
        <v>11</v>
      </c>
      <c r="B17" s="28" t="str">
        <f>IF($F17="","",VLOOKUP($F17,PRAC!$A$8:$X$37,2,0))</f>
        <v>PETROVIČ Zbyněk, str.</v>
      </c>
      <c r="C17" s="52" t="str">
        <f>IF($F17="","",VLOOKUP($F17,PRAC!$A$8:$X$37,3,0))</f>
        <v>ROMKE FAVIDA</v>
      </c>
      <c r="D17" s="51" t="str">
        <f>IF($F17="","",VLOOKUP($F17,PRAC!$A$8:$X$37,4,0))</f>
        <v>MP Praha</v>
      </c>
      <c r="E17" s="71">
        <f>IF(ISERROR(SMALL('STARTOVNÍ LISTINA (3)'!$E$7:$E$21,PRUBEZNA_3!A17))=TRUE,"",SMALL('STARTOVNÍ LISTINA (3)'!$E$7:$E$21,PRUBEZNA_3!A17))</f>
        <v>6.2245370370370373E-4</v>
      </c>
      <c r="F17" s="206">
        <f>IF(E17="","",VLOOKUP(E17,'STARTOVNÍ LISTINA (3)'!$E$7:$G$21,3,0))</f>
        <v>15</v>
      </c>
      <c r="G17" s="39"/>
      <c r="H17" s="40">
        <f ca="1">SUM(PRAC!M15,PRAC!V15)</f>
        <v>20</v>
      </c>
      <c r="I17" s="4" t="e">
        <f>IF(K17="",100,SUM(PRAC!#REF!,PRAC!#REF!))</f>
        <v>#REF!</v>
      </c>
      <c r="J17" s="4" t="e">
        <f t="shared" si="0"/>
        <v>#REF!</v>
      </c>
      <c r="K17" s="40" t="str">
        <f>IF('STARTOVNÍ LISTINA (1)'!B16="","",'STARTOVNÍ LISTINA (1)'!B16)</f>
        <v>POKORNÁ Hana, pprap.</v>
      </c>
      <c r="L17" s="40" t="str">
        <f>IF('STARTOVNÍ LISTINA (1)'!D16="","",'STARTOVNÍ LISTINA (1)'!D16)</f>
        <v>HUBERT</v>
      </c>
      <c r="M17" s="40" t="str">
        <f>IF('STARTOVNÍ LISTINA (1)'!E16="","",'STARTOVNÍ LISTINA (1)'!E16)</f>
        <v>KŘP Zlínského kraje</v>
      </c>
      <c r="N17" s="40">
        <f>IF('STARTOVNÍ LISTINA (1)'!A16="","",'STARTOVNÍ LISTINA (1)'!A16)</f>
        <v>8</v>
      </c>
      <c r="Q17" s="61" t="e">
        <f t="shared" si="1"/>
        <v>#REF!</v>
      </c>
      <c r="R17" s="40" t="e">
        <f t="shared" si="2"/>
        <v>#REF!</v>
      </c>
      <c r="S17" s="40" t="e">
        <f t="shared" si="3"/>
        <v>#REF!</v>
      </c>
      <c r="T17" s="40" t="e">
        <f t="shared" si="4"/>
        <v>#REF!</v>
      </c>
      <c r="Y17" s="40" t="e">
        <f t="shared" si="5"/>
        <v>#REF!</v>
      </c>
      <c r="Z17" s="40" t="e">
        <f t="shared" si="6"/>
        <v>#REF!</v>
      </c>
      <c r="AA17" s="40" t="e">
        <f t="shared" si="7"/>
        <v>#REF!</v>
      </c>
      <c r="AB17" s="40" t="e">
        <f t="shared" si="8"/>
        <v>#REF!</v>
      </c>
      <c r="AC17" s="40" t="e">
        <f t="shared" si="9"/>
        <v>#REF!</v>
      </c>
      <c r="AD17" s="40" t="e">
        <f t="shared" si="10"/>
        <v>#REF!</v>
      </c>
    </row>
    <row r="18" spans="1:30" s="40" customFormat="1" ht="20.100000000000001" customHeight="1">
      <c r="A18" s="62">
        <v>12</v>
      </c>
      <c r="B18" s="28" t="str">
        <f>IF($F18="","",VLOOKUP($F18,PRAC!$A$8:$X$37,2,0))</f>
        <v/>
      </c>
      <c r="C18" s="52" t="str">
        <f>IF($F18="","",VLOOKUP($F18,PRAC!$A$8:$X$37,3,0))</f>
        <v/>
      </c>
      <c r="D18" s="51" t="str">
        <f>IF($F18="","",VLOOKUP($F18,PRAC!$A$8:$X$37,4,0))</f>
        <v/>
      </c>
      <c r="E18" s="71" t="str">
        <f>IF(ISERROR(SMALL('STARTOVNÍ LISTINA (3)'!$E$7:$E$21,PRUBEZNA_3!A18))=TRUE,"",SMALL('STARTOVNÍ LISTINA (3)'!$E$7:$E$21,PRUBEZNA_3!A18))</f>
        <v/>
      </c>
      <c r="F18" s="206" t="str">
        <f>IF(E18="","",VLOOKUP(E18,'STARTOVNÍ LISTINA (3)'!$E$7:$G$21,3,0))</f>
        <v/>
      </c>
      <c r="G18" s="39"/>
      <c r="I18" s="4"/>
      <c r="J18" s="4"/>
      <c r="Q18" s="61"/>
    </row>
    <row r="19" spans="1:30" s="40" customFormat="1" ht="20.100000000000001" customHeight="1">
      <c r="A19" s="62">
        <v>13</v>
      </c>
      <c r="B19" s="28" t="str">
        <f>IF($F19="","",VLOOKUP($F19,PRAC!$A$8:$X$37,2,0))</f>
        <v/>
      </c>
      <c r="C19" s="52" t="str">
        <f>IF($F19="","",VLOOKUP($F19,PRAC!$A$8:$X$37,3,0))</f>
        <v/>
      </c>
      <c r="D19" s="51" t="str">
        <f>IF($F19="","",VLOOKUP($F19,PRAC!$A$8:$X$37,4,0))</f>
        <v/>
      </c>
      <c r="E19" s="71" t="str">
        <f>IF(ISERROR(SMALL('STARTOVNÍ LISTINA (3)'!$E$7:$E$21,PRUBEZNA_3!A19))=TRUE,"",SMALL('STARTOVNÍ LISTINA (3)'!$E$7:$E$21,PRUBEZNA_3!A19))</f>
        <v/>
      </c>
      <c r="F19" s="206" t="str">
        <f>IF(E19="","",VLOOKUP(E19,'STARTOVNÍ LISTINA (3)'!$E$7:$G$21,3,0))</f>
        <v/>
      </c>
      <c r="G19" s="39"/>
      <c r="I19" s="4"/>
      <c r="J19" s="4"/>
      <c r="Q19" s="61"/>
    </row>
    <row r="20" spans="1:30" s="40" customFormat="1" ht="20.100000000000001" customHeight="1">
      <c r="A20" s="62">
        <v>14</v>
      </c>
      <c r="B20" s="28" t="str">
        <f>IF($F20="","",VLOOKUP($F20,PRAC!$A$8:$X$37,2,0))</f>
        <v/>
      </c>
      <c r="C20" s="52" t="str">
        <f>IF($F20="","",VLOOKUP($F20,PRAC!$A$8:$X$37,3,0))</f>
        <v/>
      </c>
      <c r="D20" s="51" t="str">
        <f>IF($F20="","",VLOOKUP($F20,PRAC!$A$8:$X$37,4,0))</f>
        <v/>
      </c>
      <c r="E20" s="71" t="str">
        <f>IF(ISERROR(SMALL('STARTOVNÍ LISTINA (3)'!$E$7:$E$21,PRUBEZNA_3!A20))=TRUE,"",SMALL('STARTOVNÍ LISTINA (3)'!$E$7:$E$21,PRUBEZNA_3!A20))</f>
        <v/>
      </c>
      <c r="F20" s="74" t="str">
        <f>IF(E20="","",VLOOKUP(E20,'STARTOVNÍ LISTINA (3)'!$E$7:$G$21,3,0))</f>
        <v/>
      </c>
      <c r="G20" s="39"/>
      <c r="H20" s="40">
        <f ca="1">SUM(PRAC!M13,PRAC!V13)</f>
        <v>13</v>
      </c>
      <c r="I20" s="4" t="e">
        <f>IF(K20="",100,SUM(PRAC!#REF!,PRAC!#REF!))</f>
        <v>#REF!</v>
      </c>
      <c r="J20" s="4" t="e">
        <f t="shared" si="0"/>
        <v>#REF!</v>
      </c>
      <c r="K20" s="40" t="str">
        <f>IF('STARTOVNÍ LISTINA (1)'!B14="","",'STARTOVNÍ LISTINA (1)'!B14)</f>
        <v>BŘEČKA Dalibor, pprap.</v>
      </c>
      <c r="L20" s="40" t="str">
        <f>IF('STARTOVNÍ LISTINA (1)'!D14="","",'STARTOVNÍ LISTINA (1)'!D14)</f>
        <v>TAJFUN</v>
      </c>
      <c r="M20" s="40" t="str">
        <f>IF('STARTOVNÍ LISTINA (1)'!E14="","",'STARTOVNÍ LISTINA (1)'!E14)</f>
        <v>KŘP Zlínského kraje</v>
      </c>
      <c r="N20" s="40">
        <f>IF('STARTOVNÍ LISTINA (1)'!A14="","",'STARTOVNÍ LISTINA (1)'!A14)</f>
        <v>6</v>
      </c>
      <c r="Q20" s="61" t="e">
        <f t="shared" si="1"/>
        <v>#REF!</v>
      </c>
      <c r="R20" s="40" t="e">
        <f t="shared" si="2"/>
        <v>#REF!</v>
      </c>
      <c r="S20" s="40" t="e">
        <f t="shared" si="3"/>
        <v>#REF!</v>
      </c>
      <c r="T20" s="40" t="e">
        <f t="shared" si="4"/>
        <v>#REF!</v>
      </c>
      <c r="Y20" s="40" t="e">
        <f t="shared" si="5"/>
        <v>#REF!</v>
      </c>
      <c r="Z20" s="40" t="e">
        <f t="shared" si="6"/>
        <v>#REF!</v>
      </c>
      <c r="AA20" s="40" t="e">
        <f t="shared" si="7"/>
        <v>#REF!</v>
      </c>
      <c r="AB20" s="40" t="e">
        <f t="shared" si="8"/>
        <v>#REF!</v>
      </c>
      <c r="AC20" s="40" t="e">
        <f t="shared" si="9"/>
        <v>#REF!</v>
      </c>
      <c r="AD20" s="40" t="e">
        <f t="shared" si="10"/>
        <v>#REF!</v>
      </c>
    </row>
    <row r="21" spans="1:30" s="40" customFormat="1" ht="20.100000000000001" customHeight="1" thickBot="1">
      <c r="A21" s="63">
        <v>15</v>
      </c>
      <c r="B21" s="29" t="str">
        <f>IF($F21="","",VLOOKUP($F21,PRAC!$A$8:$X$37,2,0))</f>
        <v/>
      </c>
      <c r="C21" s="53" t="str">
        <f>IF($F21="","",VLOOKUP($F21,PRAC!$A$8:$X$37,3,0))</f>
        <v/>
      </c>
      <c r="D21" s="58" t="str">
        <f>IF($F21="","",VLOOKUP($F21,PRAC!$A$8:$X$37,4,0))</f>
        <v/>
      </c>
      <c r="E21" s="72" t="str">
        <f>IF(ISERROR(SMALL('STARTOVNÍ LISTINA (3)'!$E$7:$E$21,PRUBEZNA_3!A21))=TRUE,"",SMALL('STARTOVNÍ LISTINA (3)'!$E$7:$E$21,PRUBEZNA_3!A21))</f>
        <v/>
      </c>
      <c r="F21" s="76" t="str">
        <f>IF(E21="","",VLOOKUP(E21,'STARTOVNÍ LISTINA (3)'!$E$7:$G$21,3,0))</f>
        <v/>
      </c>
      <c r="G21" s="39"/>
      <c r="H21" s="40" t="e">
        <f>SUM(PRAC!#REF!,PRAC!#REF!)</f>
        <v>#REF!</v>
      </c>
      <c r="I21" s="4">
        <f>IF(K21="",100,SUM(PRAC!#REF!,PRAC!#REF!))</f>
        <v>100</v>
      </c>
      <c r="J21" s="4" t="e">
        <f t="shared" si="0"/>
        <v>#REF!</v>
      </c>
      <c r="K21" s="40" t="str">
        <f>IF('STARTOVNÍ LISTINA (1)'!B38="","",'STARTOVNÍ LISTINA (1)'!B38)</f>
        <v/>
      </c>
      <c r="L21" s="40" t="str">
        <f>IF('STARTOVNÍ LISTINA (1)'!D38="","",'STARTOVNÍ LISTINA (1)'!D38)</f>
        <v/>
      </c>
      <c r="M21" s="40" t="str">
        <f>IF('STARTOVNÍ LISTINA (1)'!E38="","",'STARTOVNÍ LISTINA (1)'!E38)</f>
        <v/>
      </c>
      <c r="N21" s="40">
        <f>IF('STARTOVNÍ LISTINA (1)'!A38="","",'STARTOVNÍ LISTINA (1)'!A38)</f>
        <v>30</v>
      </c>
      <c r="Q21" s="61" t="e">
        <f t="shared" si="1"/>
        <v>#REF!</v>
      </c>
      <c r="R21" s="40" t="e">
        <f t="shared" si="2"/>
        <v>#REF!</v>
      </c>
      <c r="S21" s="40" t="e">
        <f t="shared" si="3"/>
        <v>#REF!</v>
      </c>
      <c r="T21" s="40" t="e">
        <f t="shared" si="4"/>
        <v>#REF!</v>
      </c>
      <c r="Y21" s="40" t="e">
        <f>IF(R21="","",N21)</f>
        <v>#REF!</v>
      </c>
      <c r="Z21" s="40" t="e">
        <f t="shared" si="6"/>
        <v>#REF!</v>
      </c>
      <c r="AA21" s="40" t="e">
        <f t="shared" si="7"/>
        <v>#REF!</v>
      </c>
      <c r="AB21" s="40" t="e">
        <f t="shared" si="8"/>
        <v>#REF!</v>
      </c>
      <c r="AC21" s="40" t="e">
        <f t="shared" si="9"/>
        <v>#REF!</v>
      </c>
      <c r="AD21" s="40" t="e">
        <f t="shared" si="10"/>
        <v>#REF!</v>
      </c>
    </row>
    <row r="22" spans="1:30" ht="15">
      <c r="F22" s="146"/>
      <c r="Z22" s="40"/>
    </row>
    <row r="23" spans="1:30" ht="15" hidden="1"/>
    <row r="24" spans="1:30" ht="15" hidden="1"/>
    <row r="25" spans="1:30" ht="15" hidden="1"/>
    <row r="26" spans="1:30" s="33" customFormat="1" ht="15" hidden="1"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s="33" customFormat="1" ht="15" hidden="1"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s="33" customFormat="1" ht="15" hidden="1"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s="33" customFormat="1" ht="15" hidden="1"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s="33" customFormat="1" ht="15" hidden="1"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s="33" customFormat="1" ht="15" hidden="1"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33" customFormat="1" ht="15" hidden="1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8:30" s="33" customFormat="1" ht="15" hidden="1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8:30" s="33" customFormat="1" ht="15" hidden="1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8:30" s="33" customFormat="1" ht="15" hidden="1"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8:30" s="33" customFormat="1" ht="15" hidden="1"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8:30" s="33" customFormat="1" ht="15" hidden="1"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8:30" s="33" customFormat="1" ht="15" hidden="1"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8:30" s="33" customFormat="1" ht="15" hidden="1"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8:30" s="33" customFormat="1" ht="15" hidden="1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8:30" s="33" customFormat="1" ht="15" hidden="1"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8:30" s="33" customFormat="1" ht="15" hidden="1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8:30" s="33" customFormat="1" ht="15" hidden="1"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8:30" s="33" customFormat="1" ht="15" hidden="1"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8:30" s="33" customFormat="1" ht="15" hidden="1"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8:30" s="33" customFormat="1" ht="15" hidden="1"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8:30" s="33" customFormat="1" ht="15" hidden="1"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8:30" s="33" customFormat="1" ht="15" hidden="1"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8:30" s="33" customFormat="1" ht="15" hidden="1"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8:30" ht="15" hidden="1" customHeight="1"/>
  </sheetData>
  <sheetProtection selectLockedCells="1"/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8" orientation="portrait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BK20"/>
  <sheetViews>
    <sheetView zoomScaleNormal="100" workbookViewId="0">
      <selection activeCell="B9" sqref="B9"/>
    </sheetView>
  </sheetViews>
  <sheetFormatPr defaultColWidth="0" defaultRowHeight="0" customHeight="1" zeroHeight="1"/>
  <cols>
    <col min="1" max="1" width="7.77734375" style="1" customWidth="1"/>
    <col min="2" max="2" width="30.88671875" style="1" bestFit="1" customWidth="1"/>
    <col min="3" max="3" width="12.6640625" style="1" bestFit="1" customWidth="1"/>
    <col min="4" max="4" width="23.5546875" style="1" bestFit="1" customWidth="1"/>
    <col min="5" max="5" width="7.33203125" style="1" customWidth="1"/>
    <col min="6" max="7" width="5.77734375" style="1" customWidth="1"/>
    <col min="8" max="8" width="7.33203125" style="1" customWidth="1"/>
    <col min="9" max="10" width="5.77734375" style="1" customWidth="1"/>
    <col min="11" max="11" width="8.88671875" style="1" customWidth="1"/>
    <col min="12" max="12" width="1.77734375" style="1" customWidth="1"/>
    <col min="13" max="17" width="2.77734375" style="1" hidden="1" customWidth="1"/>
    <col min="18" max="18" width="0" style="1" hidden="1" customWidth="1"/>
    <col min="19" max="19" width="2.77734375" style="1" hidden="1" customWidth="1"/>
    <col min="20" max="29" width="4.77734375" style="1" hidden="1" customWidth="1"/>
    <col min="30" max="54" width="4.109375" style="1" hidden="1" customWidth="1"/>
    <col min="55" max="55" width="9.6640625" style="1" hidden="1" customWidth="1"/>
    <col min="56" max="16384" width="8.88671875" style="1" hidden="1"/>
  </cols>
  <sheetData>
    <row r="1" spans="1:63" s="3" customFormat="1" ht="25.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63" s="2" customFormat="1" ht="18">
      <c r="A2" s="8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63" s="2" customFormat="1" ht="18">
      <c r="A3" s="8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63" s="4" customFormat="1" ht="13.5" thickBot="1">
      <c r="A4" s="286" t="s">
        <v>148</v>
      </c>
      <c r="B4" s="11"/>
      <c r="D4" s="11"/>
      <c r="E4" s="11"/>
      <c r="F4" s="11"/>
      <c r="G4" s="11"/>
      <c r="H4" s="11"/>
      <c r="I4" s="11"/>
      <c r="J4" s="11"/>
      <c r="K4" s="287" t="s">
        <v>149</v>
      </c>
      <c r="L4" s="11"/>
    </row>
    <row r="5" spans="1:63" s="5" customFormat="1" ht="12.75">
      <c r="A5" s="302" t="s">
        <v>12</v>
      </c>
      <c r="B5" s="305" t="s">
        <v>1</v>
      </c>
      <c r="C5" s="305" t="s">
        <v>2</v>
      </c>
      <c r="D5" s="308" t="s">
        <v>3</v>
      </c>
      <c r="E5" s="12" t="s">
        <v>4</v>
      </c>
      <c r="F5" s="13"/>
      <c r="G5" s="14"/>
      <c r="H5" s="12" t="s">
        <v>7</v>
      </c>
      <c r="I5" s="13"/>
      <c r="J5" s="14"/>
      <c r="K5" s="311" t="s">
        <v>0</v>
      </c>
      <c r="L5" s="15"/>
    </row>
    <row r="6" spans="1:63" s="5" customFormat="1" ht="12.75">
      <c r="A6" s="303"/>
      <c r="B6" s="306"/>
      <c r="C6" s="306"/>
      <c r="D6" s="309"/>
      <c r="E6" s="16" t="s">
        <v>24</v>
      </c>
      <c r="F6" s="17"/>
      <c r="G6" s="18"/>
      <c r="H6" s="16" t="s">
        <v>8</v>
      </c>
      <c r="I6" s="17"/>
      <c r="J6" s="18"/>
      <c r="K6" s="312"/>
      <c r="L6" s="15"/>
    </row>
    <row r="7" spans="1:63" s="5" customFormat="1" ht="13.5" thickBot="1">
      <c r="A7" s="304"/>
      <c r="B7" s="307"/>
      <c r="C7" s="307"/>
      <c r="D7" s="310"/>
      <c r="E7" s="19" t="s">
        <v>5</v>
      </c>
      <c r="F7" s="20" t="s">
        <v>6</v>
      </c>
      <c r="G7" s="21" t="s">
        <v>12</v>
      </c>
      <c r="H7" s="19" t="s">
        <v>5</v>
      </c>
      <c r="I7" s="20" t="s">
        <v>6</v>
      </c>
      <c r="J7" s="21" t="s">
        <v>12</v>
      </c>
      <c r="K7" s="313"/>
      <c r="L7" s="15"/>
    </row>
    <row r="8" spans="1:63" s="199" customFormat="1" ht="12.95" customHeight="1">
      <c r="A8" s="174">
        <v>1</v>
      </c>
      <c r="B8" s="175" t="str">
        <f>IF($K8="","",VLOOKUP($K8,PRAC!$A$8:$X$37,2,0))</f>
        <v>ŠEJSTAL Radek, prap.</v>
      </c>
      <c r="C8" s="176" t="str">
        <f>IF($K8="","",VLOOKUP($K8,PRAC!$A$8:$X$37,3,0))</f>
        <v>LISTR</v>
      </c>
      <c r="D8" s="176" t="str">
        <f>IF($K8="","",VLOOKUP($K8,PRAC!$A$8:$X$37,4,0))</f>
        <v>KŘP Jihomoravského kraje</v>
      </c>
      <c r="E8" s="177">
        <f>IF($K8="","",VLOOKUP($K8,PRAC!$A$8:$X$37,5,0))</f>
        <v>2.2045138888888891E-3</v>
      </c>
      <c r="F8" s="178">
        <f>IF($K8="","",VLOOKUP($K8,PRAC!$A$8:$X$37,12,0))</f>
        <v>0</v>
      </c>
      <c r="G8" s="179">
        <f ca="1">IF($K8="","",VLOOKUP($K8,PRAC!$A$8:$X$37,13,0))</f>
        <v>1</v>
      </c>
      <c r="H8" s="177">
        <f>IF($K8="","",VLOOKUP($K8,PRAC!$A$8:$X$37,14,0))</f>
        <v>1.2905092592592593E-3</v>
      </c>
      <c r="I8" s="178">
        <f>IF($K8="","",VLOOKUP($K8,PRAC!$A$8:$X$37,21,0))</f>
        <v>0</v>
      </c>
      <c r="J8" s="179">
        <f>IF($K8="","",VLOOKUP($K8,PRAC!$A$8:$X$37,22,0))</f>
        <v>1</v>
      </c>
      <c r="K8" s="180">
        <v>2</v>
      </c>
      <c r="L8" s="197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</row>
    <row r="9" spans="1:63" s="199" customFormat="1" ht="12.95" customHeight="1">
      <c r="A9" s="181">
        <v>2</v>
      </c>
      <c r="B9" s="175" t="str">
        <f>IF($K9="","",VLOOKUP($K9,PRAC!$A$8:$X$37,2,0))</f>
        <v>SLEZÁK Michal, nstržm. Ing.</v>
      </c>
      <c r="C9" s="176" t="str">
        <f>IF($K9="","",VLOOKUP($K9,PRAC!$A$8:$X$37,3,0))</f>
        <v>ENRICO</v>
      </c>
      <c r="D9" s="176" t="str">
        <f>IF($K9="","",VLOOKUP($K9,PRAC!$A$8:$X$37,4,0))</f>
        <v>KŘP Jihomoravského kraje</v>
      </c>
      <c r="E9" s="177">
        <f>IF($K9="","",VLOOKUP($K9,PRAC!$A$8:$X$37,5,0))</f>
        <v>2.3578703703703704E-3</v>
      </c>
      <c r="F9" s="178">
        <f>IF($K9="","",VLOOKUP($K9,PRAC!$A$8:$X$37,12,0))</f>
        <v>5</v>
      </c>
      <c r="G9" s="179">
        <f ca="1">IF($K9="","",VLOOKUP($K9,PRAC!$A$8:$X$37,13,0))</f>
        <v>3</v>
      </c>
      <c r="H9" s="177">
        <f>IF($K9="","",VLOOKUP($K9,PRAC!$A$8:$X$37,14,0))</f>
        <v>1.3516203703703704E-3</v>
      </c>
      <c r="I9" s="178">
        <f>IF($K9="","",VLOOKUP($K9,PRAC!$A$8:$X$37,21,0))</f>
        <v>0</v>
      </c>
      <c r="J9" s="179">
        <f>IF($K9="","",VLOOKUP($K9,PRAC!$A$8:$X$37,22,0))</f>
        <v>4</v>
      </c>
      <c r="K9" s="182">
        <v>1</v>
      </c>
      <c r="L9" s="197"/>
    </row>
    <row r="10" spans="1:63" s="199" customFormat="1" ht="12.95" customHeight="1">
      <c r="A10" s="181">
        <v>3</v>
      </c>
      <c r="B10" s="175" t="str">
        <f>IF($K10="","",VLOOKUP($K10,PRAC!$A$8:$X$37,2,0))</f>
        <v>OSTŘANSKÁ Renata, nstržm.</v>
      </c>
      <c r="C10" s="176" t="str">
        <f>IF($K10="","",VLOOKUP($K10,PRAC!$A$8:$X$37,3,0))</f>
        <v>VIZIR</v>
      </c>
      <c r="D10" s="176" t="str">
        <f>IF($K10="","",VLOOKUP($K10,PRAC!$A$8:$X$37,4,0))</f>
        <v>KŘP Jihomoravského kraje</v>
      </c>
      <c r="E10" s="177">
        <f>IF($K10="","",VLOOKUP($K10,PRAC!$A$8:$X$37,5,0))</f>
        <v>2.3365740740740738E-3</v>
      </c>
      <c r="F10" s="178">
        <f>IF($K10="","",VLOOKUP($K10,PRAC!$A$8:$X$37,12,0))</f>
        <v>5</v>
      </c>
      <c r="G10" s="179">
        <f ca="1">IF($K10="","",VLOOKUP($K10,PRAC!$A$8:$X$37,13,0))</f>
        <v>5</v>
      </c>
      <c r="H10" s="177">
        <f>IF($K10="","",VLOOKUP($K10,PRAC!$A$8:$X$37,14,0))</f>
        <v>1.356712962962963E-3</v>
      </c>
      <c r="I10" s="178">
        <f>IF($K10="","",VLOOKUP($K10,PRAC!$A$8:$X$37,21,0))</f>
        <v>0</v>
      </c>
      <c r="J10" s="179">
        <f>IF($K10="","",VLOOKUP($K10,PRAC!$A$8:$X$37,22,0))</f>
        <v>5</v>
      </c>
      <c r="K10" s="182">
        <v>14</v>
      </c>
      <c r="L10" s="197"/>
    </row>
    <row r="11" spans="1:63" s="199" customFormat="1" ht="12.95" customHeight="1">
      <c r="A11" s="181">
        <v>4</v>
      </c>
      <c r="B11" s="175" t="str">
        <f>IF($K11="","",VLOOKUP($K11,PRAC!$A$8:$X$37,2,0))</f>
        <v>BŘEČKA Dalibor, pprap.</v>
      </c>
      <c r="C11" s="176" t="str">
        <f>IF($K11="","",VLOOKUP($K11,PRAC!$A$8:$X$37,3,0))</f>
        <v>TAJFUN</v>
      </c>
      <c r="D11" s="176" t="str">
        <f>IF($K11="","",VLOOKUP($K11,PRAC!$A$8:$X$37,4,0))</f>
        <v>KŘP Zlínského kraje</v>
      </c>
      <c r="E11" s="177">
        <f>IF($K11="","",VLOOKUP($K11,PRAC!$A$8:$X$37,5,0))</f>
        <v>2.1590277777777775E-3</v>
      </c>
      <c r="F11" s="178">
        <f>IF($K11="","",VLOOKUP($K11,PRAC!$A$8:$X$37,12,0))</f>
        <v>10</v>
      </c>
      <c r="G11" s="179">
        <f ca="1">IF($K11="","",VLOOKUP($K11,PRAC!$A$8:$X$37,13,0))</f>
        <v>10</v>
      </c>
      <c r="H11" s="177">
        <f>IF($K11="","",VLOOKUP($K11,PRAC!$A$8:$X$37,14,0))</f>
        <v>1.3296296296296296E-3</v>
      </c>
      <c r="I11" s="178">
        <f>IF($K11="","",VLOOKUP($K11,PRAC!$A$8:$X$37,21,0))</f>
        <v>0</v>
      </c>
      <c r="J11" s="179">
        <f>IF($K11="","",VLOOKUP($K11,PRAC!$A$8:$X$37,22,0))</f>
        <v>3</v>
      </c>
      <c r="K11" s="182">
        <v>6</v>
      </c>
      <c r="L11" s="197"/>
    </row>
    <row r="12" spans="1:63" s="199" customFormat="1" ht="12.95" customHeight="1">
      <c r="A12" s="181">
        <v>5</v>
      </c>
      <c r="B12" s="175" t="str">
        <f>IF($K12="","",VLOOKUP($K12,PRAC!$A$8:$X$37,2,0))</f>
        <v>JOHN Přemysl, nstržm.</v>
      </c>
      <c r="C12" s="176" t="str">
        <f>IF($K12="","",VLOOKUP($K12,PRAC!$A$8:$X$37,3,0))</f>
        <v>DERWISZ</v>
      </c>
      <c r="D12" s="176" t="str">
        <f>IF($K12="","",VLOOKUP($K12,PRAC!$A$8:$X$37,4,0))</f>
        <v>KŘP Jihomoravského kraje</v>
      </c>
      <c r="E12" s="177">
        <f>IF($K12="","",VLOOKUP($K12,PRAC!$A$8:$X$37,5,0))</f>
        <v>2.3491898148148148E-3</v>
      </c>
      <c r="F12" s="178">
        <f>IF($K12="","",VLOOKUP($K12,PRAC!$A$8:$X$37,12,0))</f>
        <v>5</v>
      </c>
      <c r="G12" s="179">
        <f ca="1">IF($K12="","",VLOOKUP($K12,PRAC!$A$8:$X$37,13,0))</f>
        <v>4</v>
      </c>
      <c r="H12" s="177">
        <f>IF($K12="","",VLOOKUP($K12,PRAC!$A$8:$X$37,14,0))</f>
        <v>1.404513888888889E-3</v>
      </c>
      <c r="I12" s="178">
        <f>IF($K12="","",VLOOKUP($K12,PRAC!$A$8:$X$37,21,0))</f>
        <v>10</v>
      </c>
      <c r="J12" s="179">
        <f>IF($K12="","",VLOOKUP($K12,PRAC!$A$8:$X$37,22,0))</f>
        <v>9</v>
      </c>
      <c r="K12" s="182">
        <v>21</v>
      </c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</row>
    <row r="13" spans="1:63" s="4" customFormat="1" ht="12.95" customHeight="1">
      <c r="A13" s="25">
        <v>6</v>
      </c>
      <c r="B13" s="23" t="str">
        <f>IF($K13="","",VLOOKUP($K13,PRAC!$A$8:$X$37,2,0))</f>
        <v>VYSLOUŽILOVÁ Martina, pprap.</v>
      </c>
      <c r="C13" s="249" t="str">
        <f>IF($K13="","",VLOOKUP($K13,PRAC!$A$8:$X$37,3,0))</f>
        <v>PRESTIGE</v>
      </c>
      <c r="D13" s="249" t="str">
        <f>IF($K13="","",VLOOKUP($K13,PRAC!$A$8:$X$37,4,0))</f>
        <v>KŘP Jihomoravského kraje</v>
      </c>
      <c r="E13" s="177">
        <f>IF($K13="","",VLOOKUP($K13,PRAC!$A$8:$X$37,5,0))</f>
        <v>2.2197916666666664E-3</v>
      </c>
      <c r="F13" s="178">
        <f>IF($K13="","",VLOOKUP($K13,PRAC!$A$8:$X$37,12,0))</f>
        <v>10</v>
      </c>
      <c r="G13" s="179">
        <f ca="1">IF($K13="","",VLOOKUP($K13,PRAC!$A$8:$X$37,13,0))</f>
        <v>9</v>
      </c>
      <c r="H13" s="177">
        <f>IF($K13="","",VLOOKUP($K13,PRAC!$A$8:$X$37,14,0))</f>
        <v>1.4290509259259258E-3</v>
      </c>
      <c r="I13" s="178">
        <f>IF($K13="","",VLOOKUP($K13,PRAC!$A$8:$X$37,21,0))</f>
        <v>5</v>
      </c>
      <c r="J13" s="179">
        <f>IF($K13="","",VLOOKUP($K13,PRAC!$A$8:$X$37,22,0))</f>
        <v>7</v>
      </c>
      <c r="K13" s="196">
        <v>11</v>
      </c>
      <c r="L13" s="11"/>
    </row>
    <row r="14" spans="1:63" s="4" customFormat="1" ht="12.95" customHeight="1">
      <c r="A14" s="25">
        <v>7</v>
      </c>
      <c r="B14" s="23" t="str">
        <f>IF($K14="","",VLOOKUP($K14,PRAC!$A$8:$X$37,2,0))</f>
        <v>POKORNÁ Hana, pprap.</v>
      </c>
      <c r="C14" s="249" t="str">
        <f>IF($K14="","",VLOOKUP($K14,PRAC!$A$8:$X$37,3,0))</f>
        <v>HUBERT</v>
      </c>
      <c r="D14" s="249" t="str">
        <f>IF($K14="","",VLOOKUP($K14,PRAC!$A$8:$X$37,4,0))</f>
        <v>KŘP Zlínského kraje</v>
      </c>
      <c r="E14" s="177">
        <f>IF($K14="","",VLOOKUP($K14,PRAC!$A$8:$X$37,5,0))</f>
        <v>2.5267361111111111E-3</v>
      </c>
      <c r="F14" s="178">
        <f>IF($K14="","",VLOOKUP($K14,PRAC!$A$8:$X$37,12,0))</f>
        <v>19</v>
      </c>
      <c r="G14" s="179">
        <f ca="1">IF($K14="","",VLOOKUP($K14,PRAC!$A$8:$X$37,13,0))</f>
        <v>12</v>
      </c>
      <c r="H14" s="177">
        <f>IF($K14="","",VLOOKUP($K14,PRAC!$A$8:$X$37,14,0))</f>
        <v>1.4887731481481481E-3</v>
      </c>
      <c r="I14" s="178">
        <f>IF($K14="","",VLOOKUP($K14,PRAC!$A$8:$X$37,21,0))</f>
        <v>0</v>
      </c>
      <c r="J14" s="179">
        <f>IF($K14="","",VLOOKUP($K14,PRAC!$A$8:$X$37,22,0))</f>
        <v>8</v>
      </c>
      <c r="K14" s="196">
        <v>8</v>
      </c>
      <c r="L14" s="11"/>
    </row>
    <row r="15" spans="1:63" s="4" customFormat="1" ht="12.95" customHeight="1">
      <c r="A15" s="25">
        <v>8</v>
      </c>
      <c r="B15" s="23" t="str">
        <f>IF($K15="","",VLOOKUP($K15,PRAC!$A$8:$X$37,2,0))</f>
        <v>SVOBODA Lukáš, nstržm.</v>
      </c>
      <c r="C15" s="249" t="str">
        <f>IF($K15="","",VLOOKUP($K15,PRAC!$A$8:$X$37,3,0))</f>
        <v>SANTÉ</v>
      </c>
      <c r="D15" s="249" t="str">
        <f>IF($K15="","",VLOOKUP($K15,PRAC!$A$8:$X$37,4,0))</f>
        <v>KŘP hlavního města Prahy</v>
      </c>
      <c r="E15" s="177">
        <f>IF($K15="","",VLOOKUP($K15,PRAC!$A$8:$X$37,5,0))</f>
        <v>2.4562499999999997E-3</v>
      </c>
      <c r="F15" s="178">
        <f>IF($K15="","",VLOOKUP($K15,PRAC!$A$8:$X$37,12,0))</f>
        <v>18</v>
      </c>
      <c r="G15" s="179">
        <f ca="1">IF($K15="","",VLOOKUP($K15,PRAC!$A$8:$X$37,13,0))</f>
        <v>11</v>
      </c>
      <c r="H15" s="177">
        <f>IF($K15="","",VLOOKUP($K15,PRAC!$A$8:$X$37,14,0))</f>
        <v>1.6586805555555556E-3</v>
      </c>
      <c r="I15" s="178">
        <f>IF($K15="","",VLOOKUP($K15,PRAC!$A$8:$X$37,21,0))</f>
        <v>20</v>
      </c>
      <c r="J15" s="179">
        <f>IF($K15="","",VLOOKUP($K15,PRAC!$A$8:$X$37,22,0))</f>
        <v>13</v>
      </c>
      <c r="K15" s="196">
        <v>17</v>
      </c>
      <c r="L15" s="11"/>
    </row>
    <row r="16" spans="1:63" s="4" customFormat="1" ht="12.95" customHeight="1">
      <c r="A16" s="25">
        <v>9</v>
      </c>
      <c r="B16" s="23" t="str">
        <f>IF($K16="","",VLOOKUP($K16,PRAC!$A$8:$X$37,2,0))</f>
        <v>HRADIL Tomáš, pprap.</v>
      </c>
      <c r="C16" s="249" t="str">
        <f>IF($K16="","",VLOOKUP($K16,PRAC!$A$8:$X$37,3,0))</f>
        <v>ŽAGIR</v>
      </c>
      <c r="D16" s="249" t="str">
        <f>IF($K16="","",VLOOKUP($K16,PRAC!$A$8:$X$37,4,0))</f>
        <v>KŘP hlavního města Prahy</v>
      </c>
      <c r="E16" s="177" t="str">
        <f>IF($K16="","",VLOOKUP($K16,PRAC!$A$8:$X$37,5,0))</f>
        <v>–</v>
      </c>
      <c r="F16" s="178">
        <f>IF($K16="","",VLOOKUP($K16,PRAC!$A$8:$X$37,12,0))</f>
        <v>200</v>
      </c>
      <c r="G16" s="179" t="str">
        <f>IF($K16="","",VLOOKUP($K16,PRAC!$A$8:$X$37,13,0))</f>
        <v>ELIM</v>
      </c>
      <c r="H16" s="177">
        <f>IF($K16="","",VLOOKUP($K16,PRAC!$A$8:$X$37,14,0))</f>
        <v>1.6746527777777777E-3</v>
      </c>
      <c r="I16" s="178">
        <f>IF($K16="","",VLOOKUP($K16,PRAC!$A$8:$X$37,21,0))</f>
        <v>5</v>
      </c>
      <c r="J16" s="179">
        <f>IF($K16="","",VLOOKUP($K16,PRAC!$A$8:$X$37,22,0))</f>
        <v>12</v>
      </c>
      <c r="K16" s="196">
        <v>19</v>
      </c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4" customFormat="1" ht="12.95" customHeight="1">
      <c r="A17" s="25">
        <v>10</v>
      </c>
      <c r="B17" s="23" t="str">
        <f>IF($K17="","",VLOOKUP($K17,PRAC!$A$8:$X$37,2,0))</f>
        <v>KUROPATNICKÁ Zuzana, nstržm.</v>
      </c>
      <c r="C17" s="249" t="str">
        <f>IF($K17="","",VLOOKUP($K17,PRAC!$A$8:$X$37,3,0))</f>
        <v>CASSIUS</v>
      </c>
      <c r="D17" s="249" t="str">
        <f>IF($K17="","",VLOOKUP($K17,PRAC!$A$8:$X$37,4,0))</f>
        <v>KŘP hlavního města Prahy</v>
      </c>
      <c r="E17" s="177" t="str">
        <f>IF($K17="","",VLOOKUP($K17,PRAC!$A$8:$X$37,5,0))</f>
        <v>–</v>
      </c>
      <c r="F17" s="178">
        <f>IF($K17="","",VLOOKUP($K17,PRAC!$A$8:$X$37,12,0))</f>
        <v>200</v>
      </c>
      <c r="G17" s="179" t="str">
        <f>IF($K17="","",VLOOKUP($K17,PRAC!$A$8:$X$37,13,0))</f>
        <v>ELIM</v>
      </c>
      <c r="H17" s="177">
        <f>IF($K17="","",VLOOKUP($K17,PRAC!$A$8:$X$37,14,0))</f>
        <v>2.2123842592592594E-3</v>
      </c>
      <c r="I17" s="178">
        <f>IF($K17="","",VLOOKUP($K17,PRAC!$A$8:$X$37,21,0))</f>
        <v>71</v>
      </c>
      <c r="J17" s="179">
        <f>IF($K17="","",VLOOKUP($K17,PRAC!$A$8:$X$37,22,0))</f>
        <v>19</v>
      </c>
      <c r="K17" s="196">
        <v>9</v>
      </c>
      <c r="L17" s="11"/>
    </row>
    <row r="18" spans="1:63" s="4" customFormat="1" ht="12.95" customHeight="1">
      <c r="A18" s="25">
        <v>11</v>
      </c>
      <c r="B18" s="23" t="str">
        <f>IF($K18="","",VLOOKUP($K18,PRAC!$A$8:$X$37,2,0))</f>
        <v/>
      </c>
      <c r="C18" s="249" t="str">
        <f>IF($K18="","",VLOOKUP($K18,PRAC!$A$8:$X$37,3,0))</f>
        <v/>
      </c>
      <c r="D18" s="249" t="str">
        <f>IF($K18="","",VLOOKUP($K18,PRAC!$A$8:$X$37,4,0))</f>
        <v/>
      </c>
      <c r="E18" s="177" t="str">
        <f>IF($K18="","",VLOOKUP($K18,PRAC!$A$8:$X$37,5,0))</f>
        <v/>
      </c>
      <c r="F18" s="178" t="str">
        <f>IF($K18="","",VLOOKUP($K18,PRAC!$A$8:$X$37,12,0))</f>
        <v/>
      </c>
      <c r="G18" s="179" t="str">
        <f>IF($K18="","",VLOOKUP($K18,PRAC!$A$8:$X$37,13,0))</f>
        <v/>
      </c>
      <c r="H18" s="177" t="str">
        <f>IF($K18="","",VLOOKUP($K18,PRAC!$A$8:$X$37,14,0))</f>
        <v/>
      </c>
      <c r="I18" s="178" t="str">
        <f>IF($K18="","",VLOOKUP($K18,PRAC!$A$8:$X$37,21,0))</f>
        <v/>
      </c>
      <c r="J18" s="179" t="str">
        <f>IF($K18="","",VLOOKUP($K18,PRAC!$A$8:$X$37,22,0))</f>
        <v/>
      </c>
      <c r="K18" s="196"/>
      <c r="L18" s="11"/>
    </row>
    <row r="19" spans="1:63" ht="12.95" customHeight="1" thickBot="1">
      <c r="A19" s="26">
        <v>12</v>
      </c>
      <c r="B19" s="27" t="str">
        <f>IF($K19="","",VLOOKUP($K19,PRAC!$A$8:$X$37,2,0))</f>
        <v/>
      </c>
      <c r="C19" s="250" t="str">
        <f>IF($K19="","",VLOOKUP($K19,PRAC!$A$8:$X$37,3,0))</f>
        <v/>
      </c>
      <c r="D19" s="250" t="str">
        <f>IF($K19="","",VLOOKUP($K19,PRAC!$A$8:$X$37,4,0))</f>
        <v/>
      </c>
      <c r="E19" s="252" t="str">
        <f>IF($K19="","",VLOOKUP($K19,PRAC!$A$8:$X$37,5,0))</f>
        <v/>
      </c>
      <c r="F19" s="253" t="str">
        <f>IF($K19="","",VLOOKUP($K19,PRAC!$A$8:$X$37,12,0))</f>
        <v/>
      </c>
      <c r="G19" s="254" t="str">
        <f>IF($K19="","",VLOOKUP($K19,PRAC!$A$8:$X$37,13,0))</f>
        <v/>
      </c>
      <c r="H19" s="252" t="str">
        <f>IF($K19="","",VLOOKUP($K19,PRAC!$A$8:$X$37,14,0))</f>
        <v/>
      </c>
      <c r="I19" s="253" t="str">
        <f>IF($K19="","",VLOOKUP($K19,PRAC!$A$8:$X$37,21,0))</f>
        <v/>
      </c>
      <c r="J19" s="254" t="str">
        <f>IF($K19="","",VLOOKUP($K19,PRAC!$A$8:$X$37,22,0))</f>
        <v/>
      </c>
      <c r="K19" s="251"/>
      <c r="L19" s="1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5"/>
  </sheetData>
  <sheetProtection selectLockedCells="1"/>
  <mergeCells count="5">
    <mergeCell ref="K5:K7"/>
    <mergeCell ref="A5:A7"/>
    <mergeCell ref="B5:B7"/>
    <mergeCell ref="C5:C7"/>
    <mergeCell ref="D5:D7"/>
  </mergeCells>
  <phoneticPr fontId="27" type="noConversion"/>
  <conditionalFormatting sqref="H8:H19 E8:E19">
    <cfRule type="expression" dxfId="4" priority="8" stopIfTrue="1">
      <formula>COUNTIF($E$8:$E$19,E8)&gt;1</formula>
    </cfRule>
  </conditionalFormatting>
  <conditionalFormatting sqref="H8:H19 E8:E19">
    <cfRule type="expression" dxfId="3" priority="11" stopIfTrue="1">
      <formula>COUNTIF($H$8:$H$19,E8)&gt;1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BK49"/>
  <sheetViews>
    <sheetView tabSelected="1" zoomScaleNormal="100" workbookViewId="0">
      <selection activeCell="A3" sqref="A3"/>
    </sheetView>
  </sheetViews>
  <sheetFormatPr defaultColWidth="0" defaultRowHeight="0" customHeight="1" zeroHeight="1"/>
  <cols>
    <col min="1" max="1" width="7.77734375" style="1" customWidth="1"/>
    <col min="2" max="2" width="30.88671875" style="1" bestFit="1" customWidth="1"/>
    <col min="3" max="3" width="12.6640625" style="1" bestFit="1" customWidth="1"/>
    <col min="4" max="4" width="23.5546875" style="1" bestFit="1" customWidth="1"/>
    <col min="5" max="5" width="8.77734375" style="1" customWidth="1"/>
    <col min="6" max="7" width="5.77734375" style="1" customWidth="1"/>
    <col min="8" max="8" width="8.77734375" style="1" customWidth="1"/>
    <col min="9" max="10" width="5.77734375" style="1" customWidth="1"/>
    <col min="11" max="11" width="8.88671875" style="1" customWidth="1"/>
    <col min="12" max="12" width="1.77734375" style="1" customWidth="1"/>
    <col min="13" max="17" width="2.77734375" style="1" hidden="1" customWidth="1"/>
    <col min="18" max="18" width="0" style="1" hidden="1" customWidth="1"/>
    <col min="19" max="19" width="2.77734375" style="1" hidden="1" customWidth="1"/>
    <col min="20" max="29" width="4.77734375" style="1" hidden="1" customWidth="1"/>
    <col min="30" max="54" width="4.109375" style="1" hidden="1" customWidth="1"/>
    <col min="55" max="55" width="9.6640625" style="1" hidden="1" customWidth="1"/>
    <col min="56" max="16384" width="8.88671875" style="1" hidden="1"/>
  </cols>
  <sheetData>
    <row r="1" spans="1:63" s="3" customFormat="1" ht="25.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63" s="2" customFormat="1" ht="18">
      <c r="A2" s="8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63" s="2" customFormat="1" ht="18">
      <c r="A3" s="8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63" s="4" customFormat="1" ht="13.5" thickBot="1">
      <c r="A4" s="286" t="s">
        <v>148</v>
      </c>
      <c r="B4" s="11"/>
      <c r="D4" s="11"/>
      <c r="E4" s="11"/>
      <c r="F4" s="11"/>
      <c r="G4" s="11"/>
      <c r="H4" s="11"/>
      <c r="I4" s="11"/>
      <c r="J4" s="11"/>
      <c r="K4" s="287" t="s">
        <v>149</v>
      </c>
      <c r="L4" s="11"/>
    </row>
    <row r="5" spans="1:63" s="5" customFormat="1" ht="12.75">
      <c r="A5" s="302" t="s">
        <v>9</v>
      </c>
      <c r="B5" s="305" t="s">
        <v>1</v>
      </c>
      <c r="C5" s="305" t="s">
        <v>2</v>
      </c>
      <c r="D5" s="308" t="s">
        <v>3</v>
      </c>
      <c r="E5" s="12" t="s">
        <v>4</v>
      </c>
      <c r="F5" s="13"/>
      <c r="G5" s="14"/>
      <c r="H5" s="12" t="s">
        <v>7</v>
      </c>
      <c r="I5" s="13"/>
      <c r="J5" s="14"/>
      <c r="K5" s="311" t="s">
        <v>0</v>
      </c>
      <c r="L5" s="15"/>
    </row>
    <row r="6" spans="1:63" s="5" customFormat="1" ht="12.75">
      <c r="A6" s="303"/>
      <c r="B6" s="306"/>
      <c r="C6" s="306"/>
      <c r="D6" s="309"/>
      <c r="E6" s="16" t="s">
        <v>24</v>
      </c>
      <c r="F6" s="17"/>
      <c r="G6" s="18"/>
      <c r="H6" s="16" t="s">
        <v>8</v>
      </c>
      <c r="I6" s="17"/>
      <c r="J6" s="18"/>
      <c r="K6" s="312"/>
      <c r="L6" s="15"/>
    </row>
    <row r="7" spans="1:63" s="5" customFormat="1" ht="13.5" thickBot="1">
      <c r="A7" s="304"/>
      <c r="B7" s="307"/>
      <c r="C7" s="307"/>
      <c r="D7" s="310"/>
      <c r="E7" s="19" t="s">
        <v>5</v>
      </c>
      <c r="F7" s="20" t="s">
        <v>6</v>
      </c>
      <c r="G7" s="21" t="s">
        <v>12</v>
      </c>
      <c r="H7" s="19" t="s">
        <v>5</v>
      </c>
      <c r="I7" s="20" t="s">
        <v>6</v>
      </c>
      <c r="J7" s="21" t="s">
        <v>12</v>
      </c>
      <c r="K7" s="313"/>
      <c r="L7" s="15"/>
    </row>
    <row r="8" spans="1:63" s="4" customFormat="1" ht="12.95" customHeight="1">
      <c r="A8" s="183">
        <v>1</v>
      </c>
      <c r="B8" s="184" t="str">
        <f>IF($K8="","",VLOOKUP($K8,PRAC!$A$8:$X$37,2,0))</f>
        <v>ŠEJSTAL Radek, prap.</v>
      </c>
      <c r="C8" s="185" t="str">
        <f>IF($K8="","",VLOOKUP($K8,PRAC!$A$8:$X$37,3,0))</f>
        <v>LISTR</v>
      </c>
      <c r="D8" s="185" t="str">
        <f>IF($K8="","",VLOOKUP($K8,PRAC!$A$8:$X$37,4,0))</f>
        <v>KŘP Jihomoravského kraje</v>
      </c>
      <c r="E8" s="186">
        <f>IF($K8="","",VLOOKUP($K8,PRAC!$A$8:$X$37,5,0))</f>
        <v>2.2045138888888891E-3</v>
      </c>
      <c r="F8" s="187">
        <f>IF($K8="","",VLOOKUP($K8,PRAC!$A$8:$X$37,12,0))</f>
        <v>0</v>
      </c>
      <c r="G8" s="179">
        <f ca="1">IF($K8="","",VLOOKUP($K8,PRAC!$A$8:$X$37,13,0))</f>
        <v>1</v>
      </c>
      <c r="H8" s="186">
        <f>IF($K8="","",VLOOKUP($K8,PRAC!$A$8:$X$37,14,0))</f>
        <v>1.2905092592592593E-3</v>
      </c>
      <c r="I8" s="187">
        <f>IF($K8="","",VLOOKUP($K8,PRAC!$A$8:$X$37,21,0))</f>
        <v>0</v>
      </c>
      <c r="J8" s="179">
        <f>IF($K8="","",VLOOKUP($K8,PRAC!$A$8:$X$37,22,0))</f>
        <v>1</v>
      </c>
      <c r="K8" s="180">
        <v>2</v>
      </c>
      <c r="L8" s="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4" customFormat="1" ht="12.95" customHeight="1">
      <c r="A9" s="188">
        <v>2</v>
      </c>
      <c r="B9" s="184" t="str">
        <f>IF($K9="","",VLOOKUP($K9,PRAC!$A$8:$X$37,2,0))</f>
        <v>HORNÍK Martin, str. Ing.</v>
      </c>
      <c r="C9" s="185" t="str">
        <f>IF($K9="","",VLOOKUP($K9,PRAC!$A$8:$X$37,3,0))</f>
        <v>SACRAMOSO XANTA ALBA</v>
      </c>
      <c r="D9" s="185" t="str">
        <f>IF($K9="","",VLOOKUP($K9,PRAC!$A$8:$X$37,4,0))</f>
        <v>MP Praha</v>
      </c>
      <c r="E9" s="186">
        <f>IF($K9="","",VLOOKUP($K9,PRAC!$A$8:$X$37,5,0))</f>
        <v>2.1954861111111112E-3</v>
      </c>
      <c r="F9" s="187">
        <f>IF($K9="","",VLOOKUP($K9,PRAC!$A$8:$X$37,12,0))</f>
        <v>0</v>
      </c>
      <c r="G9" s="179">
        <f ca="1">IF($K9="","",VLOOKUP($K9,PRAC!$A$8:$X$37,13,0))</f>
        <v>2</v>
      </c>
      <c r="H9" s="186">
        <f>IF($K9="","",VLOOKUP($K9,PRAC!$A$8:$X$37,14,0))</f>
        <v>1.5238425925925925E-3</v>
      </c>
      <c r="I9" s="187">
        <f>IF($K9="","",VLOOKUP($K9,PRAC!$A$8:$X$37,21,0))</f>
        <v>0</v>
      </c>
      <c r="J9" s="179">
        <f>IF($K9="","",VLOOKUP($K9,PRAC!$A$8:$X$37,22,0))</f>
        <v>10</v>
      </c>
      <c r="K9" s="182">
        <v>20</v>
      </c>
      <c r="L9" s="11"/>
    </row>
    <row r="10" spans="1:63" s="4" customFormat="1" ht="12.95" customHeight="1">
      <c r="A10" s="188">
        <v>3</v>
      </c>
      <c r="B10" s="184" t="str">
        <f>IF($K10="","",VLOOKUP($K10,PRAC!$A$8:$X$37,2,0))</f>
        <v>SLEZÁK Michal, nstržm. Ing.</v>
      </c>
      <c r="C10" s="185" t="str">
        <f>IF($K10="","",VLOOKUP($K10,PRAC!$A$8:$X$37,3,0))</f>
        <v>ENRICO</v>
      </c>
      <c r="D10" s="185" t="str">
        <f>IF($K10="","",VLOOKUP($K10,PRAC!$A$8:$X$37,4,0))</f>
        <v>KŘP Jihomoravského kraje</v>
      </c>
      <c r="E10" s="186">
        <f>IF($K10="","",VLOOKUP($K10,PRAC!$A$8:$X$37,5,0))</f>
        <v>2.3578703703703704E-3</v>
      </c>
      <c r="F10" s="187">
        <f>IF($K10="","",VLOOKUP($K10,PRAC!$A$8:$X$37,12,0))</f>
        <v>5</v>
      </c>
      <c r="G10" s="179">
        <f ca="1">IF($K10="","",VLOOKUP($K10,PRAC!$A$8:$X$37,13,0))</f>
        <v>3</v>
      </c>
      <c r="H10" s="186">
        <f>IF($K10="","",VLOOKUP($K10,PRAC!$A$8:$X$37,14,0))</f>
        <v>1.3516203703703704E-3</v>
      </c>
      <c r="I10" s="187">
        <f>IF($K10="","",VLOOKUP($K10,PRAC!$A$8:$X$37,21,0))</f>
        <v>0</v>
      </c>
      <c r="J10" s="179">
        <f>IF($K10="","",VLOOKUP($K10,PRAC!$A$8:$X$37,22,0))</f>
        <v>4</v>
      </c>
      <c r="K10" s="182">
        <v>1</v>
      </c>
      <c r="L10" s="11"/>
    </row>
    <row r="11" spans="1:63" s="204" customFormat="1" ht="12.95" customHeight="1">
      <c r="A11" s="200">
        <v>4</v>
      </c>
      <c r="B11" s="201" t="str">
        <f>IF($K11="","",VLOOKUP($K11,PRAC!$A$8:$X$37,2,0))</f>
        <v>OSTŘANSKÁ Renata, nstržm.</v>
      </c>
      <c r="C11" s="202" t="str">
        <f>IF($K11="","",VLOOKUP($K11,PRAC!$A$8:$X$37,3,0))</f>
        <v>VIZIR</v>
      </c>
      <c r="D11" s="202" t="str">
        <f>IF($K11="","",VLOOKUP($K11,PRAC!$A$8:$X$37,4,0))</f>
        <v>KŘP Jihomoravského kraje</v>
      </c>
      <c r="E11" s="186">
        <f>IF($K11="","",VLOOKUP($K11,PRAC!$A$8:$X$37,5,0))</f>
        <v>2.3365740740740738E-3</v>
      </c>
      <c r="F11" s="187">
        <f>IF($K11="","",VLOOKUP($K11,PRAC!$A$8:$X$37,12,0))</f>
        <v>5</v>
      </c>
      <c r="G11" s="179">
        <f ca="1">IF($K11="","",VLOOKUP($K11,PRAC!$A$8:$X$37,13,0))</f>
        <v>5</v>
      </c>
      <c r="H11" s="186">
        <f>IF($K11="","",VLOOKUP($K11,PRAC!$A$8:$X$37,14,0))</f>
        <v>1.356712962962963E-3</v>
      </c>
      <c r="I11" s="187">
        <f>IF($K11="","",VLOOKUP($K11,PRAC!$A$8:$X$37,21,0))</f>
        <v>0</v>
      </c>
      <c r="J11" s="179">
        <f>IF($K11="","",VLOOKUP($K11,PRAC!$A$8:$X$37,22,0))</f>
        <v>5</v>
      </c>
      <c r="K11" s="182">
        <v>14</v>
      </c>
      <c r="L11" s="203"/>
    </row>
    <row r="12" spans="1:63" s="204" customFormat="1" ht="12.95" customHeight="1">
      <c r="A12" s="200">
        <v>5</v>
      </c>
      <c r="B12" s="201" t="str">
        <f>IF($K12="","",VLOOKUP($K12,PRAC!$A$8:$X$37,2,0))</f>
        <v>BONK Christin</v>
      </c>
      <c r="C12" s="202" t="str">
        <f>IF($K12="","",VLOOKUP($K12,PRAC!$A$8:$X$37,3,0))</f>
        <v>KRISTAL</v>
      </c>
      <c r="D12" s="202" t="str">
        <f>IF($K12="","",VLOOKUP($K12,PRAC!$A$8:$X$37,4,0))</f>
        <v>NĚMECKO, Sasko</v>
      </c>
      <c r="E12" s="186">
        <f>IF($K12="","",VLOOKUP($K12,PRAC!$A$8:$X$37,5,0))</f>
        <v>2.3078703703703703E-3</v>
      </c>
      <c r="F12" s="187">
        <f>IF($K12="","",VLOOKUP($K12,PRAC!$A$8:$X$37,12,0))</f>
        <v>5</v>
      </c>
      <c r="G12" s="179">
        <f ca="1">IF($K12="","",VLOOKUP($K12,PRAC!$A$8:$X$37,13,0))</f>
        <v>6</v>
      </c>
      <c r="H12" s="186">
        <f>IF($K12="","",VLOOKUP($K12,PRAC!$A$8:$X$37,14,0))</f>
        <v>1.4612268518518518E-3</v>
      </c>
      <c r="I12" s="187">
        <f>IF($K12="","",VLOOKUP($K12,PRAC!$A$8:$X$37,21,0))</f>
        <v>0</v>
      </c>
      <c r="J12" s="179">
        <f>IF($K12="","",VLOOKUP($K12,PRAC!$A$8:$X$37,22,0))</f>
        <v>6</v>
      </c>
      <c r="K12" s="182">
        <v>13</v>
      </c>
      <c r="L12" s="203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</row>
    <row r="13" spans="1:63" s="4" customFormat="1" ht="12.95" customHeight="1">
      <c r="A13" s="25">
        <v>6</v>
      </c>
      <c r="B13" s="23" t="str">
        <f>IF($K13="","",VLOOKUP($K13,PRAC!$A$8:$X$37,2,0))</f>
        <v>ZEDNÍČEK Libor, str.</v>
      </c>
      <c r="C13" s="54" t="str">
        <f>IF($K13="","",VLOOKUP($K13,PRAC!$A$8:$X$37,3,0))</f>
        <v>SOLO MACARENA</v>
      </c>
      <c r="D13" s="54" t="str">
        <f>IF($K13="","",VLOOKUP($K13,PRAC!$A$8:$X$37,4,0))</f>
        <v>MP Ostrava</v>
      </c>
      <c r="E13" s="186">
        <f>IF($K13="","",VLOOKUP($K13,PRAC!$A$8:$X$37,5,0))</f>
        <v>2.398726851851852E-3</v>
      </c>
      <c r="F13" s="187">
        <f>IF($K13="","",VLOOKUP($K13,PRAC!$A$8:$X$37,12,0))</f>
        <v>8</v>
      </c>
      <c r="G13" s="179">
        <f ca="1">IF($K13="","",VLOOKUP($K13,PRAC!$A$8:$X$37,13,0))</f>
        <v>8</v>
      </c>
      <c r="H13" s="186">
        <f>IF($K13="","",VLOOKUP($K13,PRAC!$A$8:$X$37,14,0))</f>
        <v>1.3046296296296295E-3</v>
      </c>
      <c r="I13" s="187">
        <f>IF($K13="","",VLOOKUP($K13,PRAC!$A$8:$X$37,21,0))</f>
        <v>0</v>
      </c>
      <c r="J13" s="179">
        <f>IF($K13="","",VLOOKUP($K13,PRAC!$A$8:$X$37,22,0))</f>
        <v>2</v>
      </c>
      <c r="K13" s="182">
        <v>18</v>
      </c>
      <c r="L13" s="11"/>
    </row>
    <row r="14" spans="1:63" s="4" customFormat="1" ht="12.95" customHeight="1">
      <c r="A14" s="25">
        <v>7</v>
      </c>
      <c r="B14" s="23" t="str">
        <f>IF($K14="","",VLOOKUP($K14,PRAC!$A$8:$X$37,2,0))</f>
        <v>BŘEČKA Dalibor, pprap.</v>
      </c>
      <c r="C14" s="54" t="str">
        <f>IF($K14="","",VLOOKUP($K14,PRAC!$A$8:$X$37,3,0))</f>
        <v>TAJFUN</v>
      </c>
      <c r="D14" s="54" t="str">
        <f>IF($K14="","",VLOOKUP($K14,PRAC!$A$8:$X$37,4,0))</f>
        <v>KŘP Zlínského kraje</v>
      </c>
      <c r="E14" s="186">
        <f>IF($K14="","",VLOOKUP($K14,PRAC!$A$8:$X$37,5,0))</f>
        <v>2.1590277777777775E-3</v>
      </c>
      <c r="F14" s="187">
        <f>IF($K14="","",VLOOKUP($K14,PRAC!$A$8:$X$37,12,0))</f>
        <v>10</v>
      </c>
      <c r="G14" s="179">
        <f ca="1">IF($K14="","",VLOOKUP($K14,PRAC!$A$8:$X$37,13,0))</f>
        <v>10</v>
      </c>
      <c r="H14" s="186">
        <f>IF($K14="","",VLOOKUP($K14,PRAC!$A$8:$X$37,14,0))</f>
        <v>1.3296296296296296E-3</v>
      </c>
      <c r="I14" s="187">
        <f>IF($K14="","",VLOOKUP($K14,PRAC!$A$8:$X$37,21,0))</f>
        <v>0</v>
      </c>
      <c r="J14" s="179">
        <f>IF($K14="","",VLOOKUP($K14,PRAC!$A$8:$X$37,22,0))</f>
        <v>3</v>
      </c>
      <c r="K14" s="182">
        <v>6</v>
      </c>
      <c r="L14" s="11"/>
    </row>
    <row r="15" spans="1:63" s="4" customFormat="1" ht="12.95" customHeight="1">
      <c r="A15" s="25">
        <v>8</v>
      </c>
      <c r="B15" s="23" t="str">
        <f>IF($K15="","",VLOOKUP($K15,PRAC!$A$8:$X$37,2,0))</f>
        <v>JOHN Přemysl, nstržm.</v>
      </c>
      <c r="C15" s="54" t="str">
        <f>IF($K15="","",VLOOKUP($K15,PRAC!$A$8:$X$37,3,0))</f>
        <v>DERWISZ</v>
      </c>
      <c r="D15" s="54" t="str">
        <f>IF($K15="","",VLOOKUP($K15,PRAC!$A$8:$X$37,4,0))</f>
        <v>KŘP Jihomoravského kraje</v>
      </c>
      <c r="E15" s="186">
        <f>IF($K15="","",VLOOKUP($K15,PRAC!$A$8:$X$37,5,0))</f>
        <v>2.3491898148148148E-3</v>
      </c>
      <c r="F15" s="187">
        <f>IF($K15="","",VLOOKUP($K15,PRAC!$A$8:$X$37,12,0))</f>
        <v>5</v>
      </c>
      <c r="G15" s="179">
        <f ca="1">IF($K15="","",VLOOKUP($K15,PRAC!$A$8:$X$37,13,0))</f>
        <v>4</v>
      </c>
      <c r="H15" s="186">
        <f>IF($K15="","",VLOOKUP($K15,PRAC!$A$8:$X$37,14,0))</f>
        <v>1.404513888888889E-3</v>
      </c>
      <c r="I15" s="187">
        <f>IF($K15="","",VLOOKUP($K15,PRAC!$A$8:$X$37,21,0))</f>
        <v>10</v>
      </c>
      <c r="J15" s="179">
        <f>IF($K15="","",VLOOKUP($K15,PRAC!$A$8:$X$37,22,0))</f>
        <v>9</v>
      </c>
      <c r="K15" s="182">
        <v>21</v>
      </c>
      <c r="L15" s="11"/>
    </row>
    <row r="16" spans="1:63" s="4" customFormat="1" ht="12.95" customHeight="1">
      <c r="A16" s="25">
        <v>9</v>
      </c>
      <c r="B16" s="23" t="str">
        <f>IF($K16="","",VLOOKUP($K16,PRAC!$A$8:$X$37,2,0))</f>
        <v>VYSLOUŽILOVÁ Martina, pprap.</v>
      </c>
      <c r="C16" s="54" t="str">
        <f>IF($K16="","",VLOOKUP($K16,PRAC!$A$8:$X$37,3,0))</f>
        <v>PRESTIGE</v>
      </c>
      <c r="D16" s="54" t="str">
        <f>IF($K16="","",VLOOKUP($K16,PRAC!$A$8:$X$37,4,0))</f>
        <v>KŘP Jihomoravského kraje</v>
      </c>
      <c r="E16" s="186">
        <f>IF($K16="","",VLOOKUP($K16,PRAC!$A$8:$X$37,5,0))</f>
        <v>2.2197916666666664E-3</v>
      </c>
      <c r="F16" s="187">
        <f>IF($K16="","",VLOOKUP($K16,PRAC!$A$8:$X$37,12,0))</f>
        <v>10</v>
      </c>
      <c r="G16" s="179">
        <f ca="1">IF($K16="","",VLOOKUP($K16,PRAC!$A$8:$X$37,13,0))</f>
        <v>9</v>
      </c>
      <c r="H16" s="186">
        <f>IF($K16="","",VLOOKUP($K16,PRAC!$A$8:$X$37,14,0))</f>
        <v>1.4290509259259258E-3</v>
      </c>
      <c r="I16" s="187">
        <f>IF($K16="","",VLOOKUP($K16,PRAC!$A$8:$X$37,21,0))</f>
        <v>5</v>
      </c>
      <c r="J16" s="179">
        <f>IF($K16="","",VLOOKUP($K16,PRAC!$A$8:$X$37,22,0))</f>
        <v>7</v>
      </c>
      <c r="K16" s="182">
        <v>11</v>
      </c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4" customFormat="1" ht="12.95" customHeight="1">
      <c r="A17" s="25">
        <v>10</v>
      </c>
      <c r="B17" s="23" t="str">
        <f>IF($K17="","",VLOOKUP($K17,PRAC!$A$8:$X$37,2,0))</f>
        <v>POKORNÁ Hana, pprap.</v>
      </c>
      <c r="C17" s="54" t="str">
        <f>IF($K17="","",VLOOKUP($K17,PRAC!$A$8:$X$37,3,0))</f>
        <v>HUBERT</v>
      </c>
      <c r="D17" s="54" t="str">
        <f>IF($K17="","",VLOOKUP($K17,PRAC!$A$8:$X$37,4,0))</f>
        <v>KŘP Zlínského kraje</v>
      </c>
      <c r="E17" s="186">
        <f>IF($K17="","",VLOOKUP($K17,PRAC!$A$8:$X$37,5,0))</f>
        <v>2.5267361111111111E-3</v>
      </c>
      <c r="F17" s="187">
        <f>IF($K17="","",VLOOKUP($K17,PRAC!$A$8:$X$37,12,0))</f>
        <v>19</v>
      </c>
      <c r="G17" s="179">
        <f ca="1">IF($K17="","",VLOOKUP($K17,PRAC!$A$8:$X$37,13,0))</f>
        <v>12</v>
      </c>
      <c r="H17" s="186">
        <f>IF($K17="","",VLOOKUP($K17,PRAC!$A$8:$X$37,14,0))</f>
        <v>1.4887731481481481E-3</v>
      </c>
      <c r="I17" s="187">
        <f>IF($K17="","",VLOOKUP($K17,PRAC!$A$8:$X$37,21,0))</f>
        <v>0</v>
      </c>
      <c r="J17" s="179">
        <f>IF($K17="","",VLOOKUP($K17,PRAC!$A$8:$X$37,22,0))</f>
        <v>8</v>
      </c>
      <c r="K17" s="182">
        <v>8</v>
      </c>
      <c r="L17" s="11"/>
    </row>
    <row r="18" spans="1:63" s="4" customFormat="1" ht="12.95" customHeight="1">
      <c r="A18" s="25">
        <v>11</v>
      </c>
      <c r="B18" s="23" t="str">
        <f>IF($K18="","",VLOOKUP($K18,PRAC!$A$8:$X$37,2,0))</f>
        <v>NOVÁK Tomáš, str.</v>
      </c>
      <c r="C18" s="54" t="str">
        <f>IF($K18="","",VLOOKUP($K18,PRAC!$A$8:$X$37,3,0))</f>
        <v>SOLO PANDORA</v>
      </c>
      <c r="D18" s="54" t="str">
        <f>IF($K18="","",VLOOKUP($K18,PRAC!$A$8:$X$37,4,0))</f>
        <v>MP Ostrava</v>
      </c>
      <c r="E18" s="186">
        <f>IF($K18="","",VLOOKUP($K18,PRAC!$A$8:$X$37,5,0))</f>
        <v>2.2587962962962965E-3</v>
      </c>
      <c r="F18" s="187">
        <f>IF($K18="","",VLOOKUP($K18,PRAC!$A$8:$X$37,12,0))</f>
        <v>5</v>
      </c>
      <c r="G18" s="179">
        <f ca="1">IF($K18="","",VLOOKUP($K18,PRAC!$A$8:$X$37,13,0))</f>
        <v>7</v>
      </c>
      <c r="H18" s="186">
        <f>IF($K18="","",VLOOKUP($K18,PRAC!$A$8:$X$37,14,0))</f>
        <v>1.6847222222222222E-3</v>
      </c>
      <c r="I18" s="187">
        <f>IF($K18="","",VLOOKUP($K18,PRAC!$A$8:$X$37,21,0))</f>
        <v>25</v>
      </c>
      <c r="J18" s="179">
        <f>IF($K18="","",VLOOKUP($K18,PRAC!$A$8:$X$37,22,0))</f>
        <v>15</v>
      </c>
      <c r="K18" s="182">
        <v>7</v>
      </c>
      <c r="L18" s="11"/>
    </row>
    <row r="19" spans="1:63" s="4" customFormat="1" ht="12.95" customHeight="1">
      <c r="A19" s="25">
        <v>12</v>
      </c>
      <c r="B19" s="23" t="str">
        <f>IF($K19="","",VLOOKUP($K19,PRAC!$A$8:$X$37,2,0))</f>
        <v>SVOBODA Lukáš, nstržm.</v>
      </c>
      <c r="C19" s="54" t="str">
        <f>IF($K19="","",VLOOKUP($K19,PRAC!$A$8:$X$37,3,0))</f>
        <v>SANTÉ</v>
      </c>
      <c r="D19" s="54" t="str">
        <f>IF($K19="","",VLOOKUP($K19,PRAC!$A$8:$X$37,4,0))</f>
        <v>KŘP hlavního města Prahy</v>
      </c>
      <c r="E19" s="186">
        <f>IF($K19="","",VLOOKUP($K19,PRAC!$A$8:$X$37,5,0))</f>
        <v>2.4562499999999997E-3</v>
      </c>
      <c r="F19" s="187">
        <f>IF($K19="","",VLOOKUP($K19,PRAC!$A$8:$X$37,12,0))</f>
        <v>18</v>
      </c>
      <c r="G19" s="179">
        <f ca="1">IF($K19="","",VLOOKUP($K19,PRAC!$A$8:$X$37,13,0))</f>
        <v>11</v>
      </c>
      <c r="H19" s="186">
        <f>IF($K19="","",VLOOKUP($K19,PRAC!$A$8:$X$37,14,0))</f>
        <v>1.6586805555555556E-3</v>
      </c>
      <c r="I19" s="187">
        <f>IF($K19="","",VLOOKUP($K19,PRAC!$A$8:$X$37,21,0))</f>
        <v>20</v>
      </c>
      <c r="J19" s="179">
        <f>IF($K19="","",VLOOKUP($K19,PRAC!$A$8:$X$37,22,0))</f>
        <v>13</v>
      </c>
      <c r="K19" s="182">
        <v>17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4" customFormat="1" ht="12.95" customHeight="1">
      <c r="A20" s="25">
        <v>13</v>
      </c>
      <c r="B20" s="23" t="str">
        <f>IF($K20="","",VLOOKUP($K20,PRAC!$A$8:$X$37,2,0))</f>
        <v>ZGOLA Marián, ppráp.</v>
      </c>
      <c r="C20" s="54" t="str">
        <f>IF($K20="","",VLOOKUP($K20,PRAC!$A$8:$X$37,3,0))</f>
        <v>LAPAZ 21</v>
      </c>
      <c r="D20" s="54" t="str">
        <f>IF($K20="","",VLOOKUP($K20,PRAC!$A$8:$X$37,4,0))</f>
        <v>SLOVENSKO, Košice</v>
      </c>
      <c r="E20" s="186">
        <f>IF($K20="","",VLOOKUP($K20,PRAC!$A$8:$X$37,5,0))</f>
        <v>2.5290509259259259E-3</v>
      </c>
      <c r="F20" s="187">
        <f>IF($K20="","",VLOOKUP($K20,PRAC!$A$8:$X$37,12,0))</f>
        <v>24</v>
      </c>
      <c r="G20" s="179">
        <f ca="1">IF($K20="","",VLOOKUP($K20,PRAC!$A$8:$X$37,13,0))</f>
        <v>13</v>
      </c>
      <c r="H20" s="186">
        <f>IF($K20="","",VLOOKUP($K20,PRAC!$A$8:$X$37,14,0))</f>
        <v>1.9481481481481483E-3</v>
      </c>
      <c r="I20" s="187">
        <f>IF($K20="","",VLOOKUP($K20,PRAC!$A$8:$X$37,21,0))</f>
        <v>18</v>
      </c>
      <c r="J20" s="179">
        <f>IF($K20="","",VLOOKUP($K20,PRAC!$A$8:$X$37,22,0))</f>
        <v>17</v>
      </c>
      <c r="K20" s="182">
        <v>4</v>
      </c>
      <c r="L20" s="11"/>
    </row>
    <row r="21" spans="1:63" s="4" customFormat="1" ht="12.95" customHeight="1">
      <c r="A21" s="25">
        <v>14</v>
      </c>
      <c r="B21" s="23" t="str">
        <f>IF($K21="","",VLOOKUP($K21,PRAC!$A$8:$X$37,2,0))</f>
        <v>BUROV Roman</v>
      </c>
      <c r="C21" s="54" t="str">
        <f>IF($K21="","",VLOOKUP($K21,PRAC!$A$8:$X$37,3,0))</f>
        <v>BOSS (KŘP JMK)</v>
      </c>
      <c r="D21" s="54" t="str">
        <f>IF($K21="","",VLOOKUP($K21,PRAC!$A$8:$X$37,4,0))</f>
        <v>RUSKO, Moskva</v>
      </c>
      <c r="E21" s="186">
        <f>IF($K21="","",VLOOKUP($K21,PRAC!$A$8:$X$37,5,0))</f>
        <v>3.8031249999999996E-3</v>
      </c>
      <c r="F21" s="187">
        <f>IF($K21="","",VLOOKUP($K21,PRAC!$A$8:$X$37,12,0))</f>
        <v>149</v>
      </c>
      <c r="G21" s="179">
        <f ca="1">IF($K21="","",VLOOKUP($K21,PRAC!$A$8:$X$37,13,0))</f>
        <v>14</v>
      </c>
      <c r="H21" s="186">
        <f>IF($K21="","",VLOOKUP($K21,PRAC!$A$8:$X$37,14,0))</f>
        <v>1.6746527777777777E-3</v>
      </c>
      <c r="I21" s="187">
        <f>IF($K21="","",VLOOKUP($K21,PRAC!$A$8:$X$37,21,0))</f>
        <v>0</v>
      </c>
      <c r="J21" s="179">
        <f>IF($K21="","",VLOOKUP($K21,PRAC!$A$8:$X$37,22,0))</f>
        <v>11</v>
      </c>
      <c r="K21" s="182">
        <v>10</v>
      </c>
      <c r="L21" s="11"/>
    </row>
    <row r="22" spans="1:63" s="4" customFormat="1" ht="12.95" customHeight="1">
      <c r="A22" s="25">
        <v>15</v>
      </c>
      <c r="B22" s="23" t="str">
        <f>IF($K22="","",VLOOKUP($K22,PRAC!$A$8:$X$37,2,0))</f>
        <v>HRADIL Tomáš, pprap.</v>
      </c>
      <c r="C22" s="54" t="str">
        <f>IF($K22="","",VLOOKUP($K22,PRAC!$A$8:$X$37,3,0))</f>
        <v>ŽAGIR</v>
      </c>
      <c r="D22" s="54" t="str">
        <f>IF($K22="","",VLOOKUP($K22,PRAC!$A$8:$X$37,4,0))</f>
        <v>KŘP hlavního města Prahy</v>
      </c>
      <c r="E22" s="186" t="str">
        <f>IF($K22="","",VLOOKUP($K22,PRAC!$A$8:$X$37,5,0))</f>
        <v>–</v>
      </c>
      <c r="F22" s="187">
        <f>IF($K22="","",VLOOKUP($K22,PRAC!$A$8:$X$37,12,0))</f>
        <v>200</v>
      </c>
      <c r="G22" s="179" t="str">
        <f>IF($K22="","",VLOOKUP($K22,PRAC!$A$8:$X$37,13,0))</f>
        <v>ELIM</v>
      </c>
      <c r="H22" s="186">
        <f>IF($K22="","",VLOOKUP($K22,PRAC!$A$8:$X$37,14,0))</f>
        <v>1.6746527777777777E-3</v>
      </c>
      <c r="I22" s="187">
        <f>IF($K22="","",VLOOKUP($K22,PRAC!$A$8:$X$37,21,0))</f>
        <v>5</v>
      </c>
      <c r="J22" s="179">
        <f>IF($K22="","",VLOOKUP($K22,PRAC!$A$8:$X$37,22,0))</f>
        <v>12</v>
      </c>
      <c r="K22" s="182">
        <v>19</v>
      </c>
      <c r="L22" s="11"/>
    </row>
    <row r="23" spans="1:63" s="4" customFormat="1" ht="12.95" customHeight="1">
      <c r="A23" s="25">
        <v>16</v>
      </c>
      <c r="B23" s="23" t="str">
        <f>IF($K23="","",VLOOKUP($K23,PRAC!$A$8:$X$37,2,0))</f>
        <v>SZIVACKI Joszef Tibor</v>
      </c>
      <c r="C23" s="54" t="str">
        <f>IF($K23="","",VLOOKUP($K23,PRAC!$A$8:$X$37,3,0))</f>
        <v>VELÚR</v>
      </c>
      <c r="D23" s="54" t="str">
        <f>IF($K23="","",VLOOKUP($K23,PRAC!$A$8:$X$37,4,0))</f>
        <v>MAĎARSKO</v>
      </c>
      <c r="E23" s="186" t="str">
        <f>IF($K23="","",VLOOKUP($K23,PRAC!$A$8:$X$37,5,0))</f>
        <v>–</v>
      </c>
      <c r="F23" s="187">
        <f>IF($K23="","",VLOOKUP($K23,PRAC!$A$8:$X$37,12,0))</f>
        <v>200</v>
      </c>
      <c r="G23" s="179" t="str">
        <f>IF($K23="","",VLOOKUP($K23,PRAC!$A$8:$X$37,13,0))</f>
        <v>ELIM</v>
      </c>
      <c r="H23" s="186">
        <f>IF($K23="","",VLOOKUP($K23,PRAC!$A$8:$X$37,14,0))</f>
        <v>1.8269675925925927E-3</v>
      </c>
      <c r="I23" s="187">
        <f>IF($K23="","",VLOOKUP($K23,PRAC!$A$8:$X$37,21,0))</f>
        <v>7</v>
      </c>
      <c r="J23" s="179">
        <f>IF($K23="","",VLOOKUP($K23,PRAC!$A$8:$X$37,22,0))</f>
        <v>14</v>
      </c>
      <c r="K23" s="182">
        <v>3</v>
      </c>
      <c r="L23" s="11"/>
    </row>
    <row r="24" spans="1:63" s="4" customFormat="1" ht="12.95" customHeight="1">
      <c r="A24" s="25">
        <v>17</v>
      </c>
      <c r="B24" s="23" t="str">
        <f>IF($K24="","",VLOOKUP($K24,PRAC!$A$8:$X$37,2,0))</f>
        <v>PILKO Stephan</v>
      </c>
      <c r="C24" s="54" t="str">
        <f>IF($K24="","",VLOOKUP($K24,PRAC!$A$8:$X$37,3,0))</f>
        <v>QUICK STEP</v>
      </c>
      <c r="D24" s="54" t="str">
        <f>IF($K24="","",VLOOKUP($K24,PRAC!$A$8:$X$37,4,0))</f>
        <v>NĚMECKO, Sasko</v>
      </c>
      <c r="E24" s="186" t="str">
        <f>IF($K24="","",VLOOKUP($K24,PRAC!$A$8:$X$37,5,0))</f>
        <v>–</v>
      </c>
      <c r="F24" s="187">
        <f>IF($K24="","",VLOOKUP($K24,PRAC!$A$8:$X$37,12,0))</f>
        <v>200</v>
      </c>
      <c r="G24" s="179" t="str">
        <f>IF($K24="","",VLOOKUP($K24,PRAC!$A$8:$X$37,13,0))</f>
        <v>ELIM</v>
      </c>
      <c r="H24" s="186">
        <f>IF($K24="","",VLOOKUP($K24,PRAC!$A$8:$X$37,14,0))</f>
        <v>1.8814814814814814E-3</v>
      </c>
      <c r="I24" s="187">
        <f>IF($K24="","",VLOOKUP($K24,PRAC!$A$8:$X$37,21,0))</f>
        <v>22</v>
      </c>
      <c r="J24" s="179">
        <f>IF($K24="","",VLOOKUP($K24,PRAC!$A$8:$X$37,22,0))</f>
        <v>16</v>
      </c>
      <c r="K24" s="182">
        <v>16</v>
      </c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4" customFormat="1" ht="12.95" customHeight="1">
      <c r="A25" s="25">
        <v>18</v>
      </c>
      <c r="B25" s="23" t="str">
        <f>IF($K25="","",VLOOKUP($K25,PRAC!$A$8:$X$37,2,0))</f>
        <v>KUROPATNICKÁ Zuzana, nstržm.</v>
      </c>
      <c r="C25" s="54" t="str">
        <f>IF($K25="","",VLOOKUP($K25,PRAC!$A$8:$X$37,3,0))</f>
        <v>CASSIUS</v>
      </c>
      <c r="D25" s="54" t="str">
        <f>IF($K25="","",VLOOKUP($K25,PRAC!$A$8:$X$37,4,0))</f>
        <v>KŘP hlavního města Prahy</v>
      </c>
      <c r="E25" s="186" t="str">
        <f>IF($K25="","",VLOOKUP($K25,PRAC!$A$8:$X$37,5,0))</f>
        <v>–</v>
      </c>
      <c r="F25" s="187">
        <f>IF($K25="","",VLOOKUP($K25,PRAC!$A$8:$X$37,12,0))</f>
        <v>200</v>
      </c>
      <c r="G25" s="179" t="str">
        <f>IF($K25="","",VLOOKUP($K25,PRAC!$A$8:$X$37,13,0))</f>
        <v>ELIM</v>
      </c>
      <c r="H25" s="186">
        <f>IF($K25="","",VLOOKUP($K25,PRAC!$A$8:$X$37,14,0))</f>
        <v>2.2123842592592594E-3</v>
      </c>
      <c r="I25" s="187">
        <f>IF($K25="","",VLOOKUP($K25,PRAC!$A$8:$X$37,21,0))</f>
        <v>71</v>
      </c>
      <c r="J25" s="179">
        <f>IF($K25="","",VLOOKUP($K25,PRAC!$A$8:$X$37,22,0))</f>
        <v>19</v>
      </c>
      <c r="K25" s="182">
        <v>9</v>
      </c>
      <c r="L25" s="11"/>
    </row>
    <row r="26" spans="1:63" s="4" customFormat="1" ht="12.95" customHeight="1">
      <c r="A26" s="25">
        <v>19</v>
      </c>
      <c r="B26" s="23" t="str">
        <f>IF($K26="","",VLOOKUP($K26,PRAC!$A$8:$X$37,2,0))</f>
        <v>TRNKOVÁ Simona, str.</v>
      </c>
      <c r="C26" s="54" t="str">
        <f>IF($K26="","",VLOOKUP($K26,PRAC!$A$8:$X$37,3,0))</f>
        <v>SOLO XALA</v>
      </c>
      <c r="D26" s="54" t="str">
        <f>IF($K26="","",VLOOKUP($K26,PRAC!$A$8:$X$37,4,0))</f>
        <v>MP Praha</v>
      </c>
      <c r="E26" s="186" t="str">
        <f>IF($K26="","",VLOOKUP($K26,PRAC!$A$8:$X$37,5,0))</f>
        <v>–</v>
      </c>
      <c r="F26" s="187">
        <f>IF($K26="","",VLOOKUP($K26,PRAC!$A$8:$X$37,12,0))</f>
        <v>200</v>
      </c>
      <c r="G26" s="179" t="str">
        <f>IF($K26="","",VLOOKUP($K26,PRAC!$A$8:$X$37,13,0))</f>
        <v>ELIM</v>
      </c>
      <c r="H26" s="186">
        <f>IF($K26="","",VLOOKUP($K26,PRAC!$A$8:$X$37,14,0))</f>
        <v>2.0254629629629629E-3</v>
      </c>
      <c r="I26" s="187">
        <f>IF($K26="","",VLOOKUP($K26,PRAC!$A$8:$X$37,21,0))</f>
        <v>85</v>
      </c>
      <c r="J26" s="179">
        <f>IF($K26="","",VLOOKUP($K26,PRAC!$A$8:$X$37,22,0))</f>
        <v>18</v>
      </c>
      <c r="K26" s="182">
        <v>12</v>
      </c>
      <c r="L26" s="11"/>
    </row>
    <row r="27" spans="1:63" s="4" customFormat="1" ht="12.95" customHeight="1">
      <c r="A27" s="25">
        <v>20</v>
      </c>
      <c r="B27" s="23" t="str">
        <f>IF($K27="","",VLOOKUP($K27,PRAC!$A$8:$X$37,2,0))</f>
        <v>GASPÁR György</v>
      </c>
      <c r="C27" s="54" t="str">
        <f>IF($K27="","",VLOOKUP($K27,PRAC!$A$8:$X$37,3,0))</f>
        <v>RUBIN</v>
      </c>
      <c r="D27" s="54" t="str">
        <f>IF($K27="","",VLOOKUP($K27,PRAC!$A$8:$X$37,4,0))</f>
        <v>MAĎARSKO</v>
      </c>
      <c r="E27" s="186" t="str">
        <f>IF($K27="","",VLOOKUP($K27,PRAC!$A$8:$X$37,5,0))</f>
        <v>–</v>
      </c>
      <c r="F27" s="187">
        <f>IF($K27="","",VLOOKUP($K27,PRAC!$A$8:$X$37,12,0))</f>
        <v>200</v>
      </c>
      <c r="G27" s="179" t="str">
        <f>IF($K27="","",VLOOKUP($K27,PRAC!$A$8:$X$37,13,0))</f>
        <v>ELIM</v>
      </c>
      <c r="H27" s="186">
        <f>IF($K27="","",VLOOKUP($K27,PRAC!$A$8:$X$37,14,0))</f>
        <v>2.3137731481481481E-3</v>
      </c>
      <c r="I27" s="187">
        <f>IF($K27="","",VLOOKUP($K27,PRAC!$A$8:$X$37,21,0))</f>
        <v>99</v>
      </c>
      <c r="J27" s="179">
        <f>IF($K27="","",VLOOKUP($K27,PRAC!$A$8:$X$37,22,0))</f>
        <v>20</v>
      </c>
      <c r="K27" s="182">
        <v>5</v>
      </c>
      <c r="L27" s="11"/>
    </row>
    <row r="28" spans="1:63" s="4" customFormat="1" ht="12.95" customHeight="1">
      <c r="A28" s="25">
        <v>21</v>
      </c>
      <c r="B28" s="23" t="str">
        <f>IF($K28="","",VLOOKUP($K28,PRAC!$A$8:$X$37,2,0))</f>
        <v>PETROVIČ Zbyněk, str.</v>
      </c>
      <c r="C28" s="54" t="str">
        <f>IF($K28="","",VLOOKUP($K28,PRAC!$A$8:$X$37,3,0))</f>
        <v>ROMKE FAVIDA</v>
      </c>
      <c r="D28" s="54" t="str">
        <f>IF($K28="","",VLOOKUP($K28,PRAC!$A$8:$X$37,4,0))</f>
        <v>MP Praha</v>
      </c>
      <c r="E28" s="186" t="str">
        <f>IF($K28="","",VLOOKUP($K28,PRAC!$A$8:$X$37,5,0))</f>
        <v>–</v>
      </c>
      <c r="F28" s="187">
        <f>IF($K28="","",VLOOKUP($K28,PRAC!$A$8:$X$37,12,0))</f>
        <v>200</v>
      </c>
      <c r="G28" s="179" t="str">
        <f>IF($K28="","",VLOOKUP($K28,PRAC!$A$8:$X$37,13,0))</f>
        <v>ELIM</v>
      </c>
      <c r="H28" s="186">
        <f>IF($K28="","",VLOOKUP($K28,PRAC!$A$8:$X$37,14,0))</f>
        <v>2.5626157407407407E-3</v>
      </c>
      <c r="I28" s="187">
        <f>IF($K28="","",VLOOKUP($K28,PRAC!$A$8:$X$37,21,0))</f>
        <v>136</v>
      </c>
      <c r="J28" s="179">
        <f>IF($K28="","",VLOOKUP($K28,PRAC!$A$8:$X$37,22,0))</f>
        <v>21</v>
      </c>
      <c r="K28" s="182">
        <v>15</v>
      </c>
      <c r="L28" s="11"/>
    </row>
    <row r="29" spans="1:63" s="4" customFormat="1" ht="12.95" customHeight="1">
      <c r="A29" s="25">
        <v>22</v>
      </c>
      <c r="B29" s="23" t="str">
        <f>IF($K29="","",VLOOKUP($K29,PRAC!$A$8:$X$37,2,0))</f>
        <v>NOVÁ Ladislava, str.</v>
      </c>
      <c r="C29" s="54" t="str">
        <f>IF($K29="","",VLOOKUP($K29,PRAC!$A$8:$X$37,3,0))</f>
        <v>SOLO MATERA</v>
      </c>
      <c r="D29" s="54" t="str">
        <f>IF($K29="","",VLOOKUP($K29,PRAC!$A$8:$X$37,4,0))</f>
        <v>MP Praha</v>
      </c>
      <c r="E29" s="186" t="str">
        <f>IF($K29="","",VLOOKUP($K29,PRAC!$A$8:$X$37,5,0))</f>
        <v>–</v>
      </c>
      <c r="F29" s="187">
        <f>IF($K29="","",VLOOKUP($K29,PRAC!$A$8:$X$37,12,0))</f>
        <v>200</v>
      </c>
      <c r="G29" s="179" t="str">
        <f>IF($K29="","",VLOOKUP($K29,PRAC!$A$8:$X$37,13,0))</f>
        <v>ELIM</v>
      </c>
      <c r="H29" s="186">
        <f>IF($K29="","",VLOOKUP($K29,PRAC!$A$8:$X$37,14,0))</f>
        <v>2.4703703703703702E-3</v>
      </c>
      <c r="I29" s="187">
        <f>IF($K29="","",VLOOKUP($K29,PRAC!$A$8:$X$37,21,0))</f>
        <v>148</v>
      </c>
      <c r="J29" s="179">
        <f>IF($K29="","",VLOOKUP($K29,PRAC!$A$8:$X$37,22,0))</f>
        <v>22</v>
      </c>
      <c r="K29" s="182">
        <v>22</v>
      </c>
      <c r="L29" s="11"/>
    </row>
    <row r="30" spans="1:63" s="4" customFormat="1" ht="12.95" customHeight="1">
      <c r="A30" s="25">
        <v>23</v>
      </c>
      <c r="B30" s="23" t="str">
        <f ca="1">IF($K30="","",VLOOKUP($K30,PRAC!$A$8:$X$37,2,0))</f>
        <v/>
      </c>
      <c r="C30" s="54" t="str">
        <f ca="1">IF($K30="","",VLOOKUP($K30,PRAC!$A$8:$X$37,3,0))</f>
        <v/>
      </c>
      <c r="D30" s="54" t="str">
        <f ca="1">IF($K30="","",VLOOKUP($K30,PRAC!$A$8:$X$37,4,0))</f>
        <v/>
      </c>
      <c r="E30" s="186" t="str">
        <f ca="1">IF($K30="","",VLOOKUP($K30,PRAC!$A$8:$X$37,5,0))</f>
        <v/>
      </c>
      <c r="F30" s="187" t="str">
        <f ca="1">IF($K30="","",VLOOKUP($K30,PRAC!$A$8:$X$37,12,0))</f>
        <v/>
      </c>
      <c r="G30" s="179" t="str">
        <f ca="1">IF($K30="","",VLOOKUP($K30,PRAC!$A$8:$X$37,13,0))</f>
        <v/>
      </c>
      <c r="H30" s="186" t="str">
        <f ca="1">IF($K30="","",VLOOKUP($K30,PRAC!$A$8:$X$37,14,0))</f>
        <v/>
      </c>
      <c r="I30" s="187" t="str">
        <f ca="1">IF($K30="","",VLOOKUP($K30,PRAC!$A$8:$X$37,21,0))</f>
        <v/>
      </c>
      <c r="J30" s="179" t="str">
        <f ca="1">IF($K30="","",VLOOKUP($K30,PRAC!$A$8:$X$37,22,0))</f>
        <v/>
      </c>
      <c r="K30" s="182" t="str">
        <f ca="1">IF(ISERROR(VLOOKUP($A30,PRAC!$X$8:$Z$37,3,0)=TRUE),"",VLOOKUP($A30,PRAC!$X$8:$Z$37,3,0))</f>
        <v/>
      </c>
      <c r="L30" s="11"/>
    </row>
    <row r="31" spans="1:63" s="4" customFormat="1" ht="12.95" customHeight="1">
      <c r="A31" s="25">
        <v>24</v>
      </c>
      <c r="B31" s="23" t="str">
        <f ca="1">IF($K31="","",VLOOKUP($K31,PRAC!$A$8:$X$37,2,0))</f>
        <v/>
      </c>
      <c r="C31" s="54" t="str">
        <f ca="1">IF($K31="","",VLOOKUP($K31,PRAC!$A$8:$X$37,3,0))</f>
        <v/>
      </c>
      <c r="D31" s="54" t="str">
        <f ca="1">IF($K31="","",VLOOKUP($K31,PRAC!$A$8:$X$37,4,0))</f>
        <v/>
      </c>
      <c r="E31" s="186" t="str">
        <f ca="1">IF($K31="","",VLOOKUP($K31,PRAC!$A$8:$X$37,5,0))</f>
        <v/>
      </c>
      <c r="F31" s="187" t="str">
        <f ca="1">IF($K31="","",VLOOKUP($K31,PRAC!$A$8:$X$37,12,0))</f>
        <v/>
      </c>
      <c r="G31" s="179" t="str">
        <f ca="1">IF($K31="","",VLOOKUP($K31,PRAC!$A$8:$X$37,13,0))</f>
        <v/>
      </c>
      <c r="H31" s="186" t="str">
        <f ca="1">IF($K31="","",VLOOKUP($K31,PRAC!$A$8:$X$37,14,0))</f>
        <v/>
      </c>
      <c r="I31" s="187" t="str">
        <f ca="1">IF($K31="","",VLOOKUP($K31,PRAC!$A$8:$X$37,21,0))</f>
        <v/>
      </c>
      <c r="J31" s="179" t="str">
        <f ca="1">IF($K31="","",VLOOKUP($K31,PRAC!$A$8:$X$37,22,0))</f>
        <v/>
      </c>
      <c r="K31" s="182" t="str">
        <f ca="1">IF(ISERROR(VLOOKUP($A31,PRAC!$X$8:$Z$37,3,0)=TRUE),"",VLOOKUP($A31,PRAC!$X$8:$Z$37,3,0))</f>
        <v/>
      </c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4" customFormat="1" ht="12.95" customHeight="1">
      <c r="A32" s="25">
        <v>25</v>
      </c>
      <c r="B32" s="23" t="str">
        <f ca="1">IF($K32="","",VLOOKUP($K32,PRAC!$A$8:$X$37,2,0))</f>
        <v/>
      </c>
      <c r="C32" s="54" t="str">
        <f ca="1">IF($K32="","",VLOOKUP($K32,PRAC!$A$8:$X$37,3,0))</f>
        <v/>
      </c>
      <c r="D32" s="54" t="str">
        <f ca="1">IF($K32="","",VLOOKUP($K32,PRAC!$A$8:$X$37,4,0))</f>
        <v/>
      </c>
      <c r="E32" s="186" t="str">
        <f ca="1">IF($K32="","",VLOOKUP($K32,PRAC!$A$8:$X$37,5,0))</f>
        <v/>
      </c>
      <c r="F32" s="187" t="str">
        <f ca="1">IF($K32="","",VLOOKUP($K32,PRAC!$A$8:$X$37,12,0))</f>
        <v/>
      </c>
      <c r="G32" s="179" t="str">
        <f ca="1">IF($K32="","",VLOOKUP($K32,PRAC!$A$8:$X$37,13,0))</f>
        <v/>
      </c>
      <c r="H32" s="186" t="str">
        <f ca="1">IF($K32="","",VLOOKUP($K32,PRAC!$A$8:$X$37,14,0))</f>
        <v/>
      </c>
      <c r="I32" s="187" t="str">
        <f ca="1">IF($K32="","",VLOOKUP($K32,PRAC!$A$8:$X$37,21,0))</f>
        <v/>
      </c>
      <c r="J32" s="179" t="str">
        <f ca="1">IF($K32="","",VLOOKUP($K32,PRAC!$A$8:$X$37,22,0))</f>
        <v/>
      </c>
      <c r="K32" s="182" t="str">
        <f ca="1">IF(ISERROR(VLOOKUP($A32,PRAC!$X$8:$Z$37,3,0)=TRUE),"",VLOOKUP($A32,PRAC!$X$8:$Z$37,3,0))</f>
        <v/>
      </c>
      <c r="L32" s="11"/>
    </row>
    <row r="33" spans="1:63" ht="12.95" customHeight="1">
      <c r="A33" s="25">
        <v>26</v>
      </c>
      <c r="B33" s="23" t="str">
        <f ca="1">IF($K33="","",VLOOKUP($K33,PRAC!$A$8:$X$37,2,0))</f>
        <v/>
      </c>
      <c r="C33" s="54" t="str">
        <f ca="1">IF($K33="","",VLOOKUP($K33,PRAC!$A$8:$X$37,3,0))</f>
        <v/>
      </c>
      <c r="D33" s="54" t="str">
        <f ca="1">IF($K33="","",VLOOKUP($K33,PRAC!$A$8:$X$37,4,0))</f>
        <v/>
      </c>
      <c r="E33" s="186" t="str">
        <f ca="1">IF($K33="","",VLOOKUP($K33,PRAC!$A$8:$X$37,5,0))</f>
        <v/>
      </c>
      <c r="F33" s="187" t="str">
        <f ca="1">IF($K33="","",VLOOKUP($K33,PRAC!$A$8:$X$37,12,0))</f>
        <v/>
      </c>
      <c r="G33" s="179" t="str">
        <f ca="1">IF($K33="","",VLOOKUP($K33,PRAC!$A$8:$X$37,13,0))</f>
        <v/>
      </c>
      <c r="H33" s="186" t="str">
        <f ca="1">IF($K33="","",VLOOKUP($K33,PRAC!$A$8:$X$37,14,0))</f>
        <v/>
      </c>
      <c r="I33" s="187" t="str">
        <f ca="1">IF($K33="","",VLOOKUP($K33,PRAC!$A$8:$X$37,21,0))</f>
        <v/>
      </c>
      <c r="J33" s="179" t="str">
        <f ca="1">IF($K33="","",VLOOKUP($K33,PRAC!$A$8:$X$37,22,0))</f>
        <v/>
      </c>
      <c r="K33" s="182" t="str">
        <f ca="1">IF(ISERROR(VLOOKUP($A33,PRAC!$X$8:$Z$37,3,0)=TRUE),"",VLOOKUP($A33,PRAC!$X$8:$Z$37,3,0))</f>
        <v/>
      </c>
      <c r="L33" s="1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12.95" customHeight="1">
      <c r="A34" s="25">
        <v>27</v>
      </c>
      <c r="B34" s="23" t="str">
        <f ca="1">IF($K34="","",VLOOKUP($K34,PRAC!$A$8:$X$37,2,0))</f>
        <v/>
      </c>
      <c r="C34" s="54" t="str">
        <f ca="1">IF($K34="","",VLOOKUP($K34,PRAC!$A$8:$X$37,3,0))</f>
        <v/>
      </c>
      <c r="D34" s="54" t="str">
        <f ca="1">IF($K34="","",VLOOKUP($K34,PRAC!$A$8:$X$37,4,0))</f>
        <v/>
      </c>
      <c r="E34" s="186" t="str">
        <f ca="1">IF($K34="","",VLOOKUP($K34,PRAC!$A$8:$X$37,5,0))</f>
        <v/>
      </c>
      <c r="F34" s="187" t="str">
        <f ca="1">IF($K34="","",VLOOKUP($K34,PRAC!$A$8:$X$37,12,0))</f>
        <v/>
      </c>
      <c r="G34" s="179" t="str">
        <f ca="1">IF($K34="","",VLOOKUP($K34,PRAC!$A$8:$X$37,13,0))</f>
        <v/>
      </c>
      <c r="H34" s="186" t="str">
        <f ca="1">IF($K34="","",VLOOKUP($K34,PRAC!$A$8:$X$37,14,0))</f>
        <v/>
      </c>
      <c r="I34" s="187" t="str">
        <f ca="1">IF($K34="","",VLOOKUP($K34,PRAC!$A$8:$X$37,21,0))</f>
        <v/>
      </c>
      <c r="J34" s="179" t="str">
        <f ca="1">IF($K34="","",VLOOKUP($K34,PRAC!$A$8:$X$37,22,0))</f>
        <v/>
      </c>
      <c r="K34" s="182" t="str">
        <f ca="1">IF(ISERROR(VLOOKUP($A34,PRAC!$X$8:$Z$37,3,0)=TRUE),"",VLOOKUP($A34,PRAC!$X$8:$Z$37,3,0))</f>
        <v/>
      </c>
      <c r="L34" s="1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2.95" customHeight="1">
      <c r="A35" s="25">
        <v>28</v>
      </c>
      <c r="B35" s="23" t="str">
        <f ca="1">IF($K35="","",VLOOKUP($K35,PRAC!$A$8:$X$37,2,0))</f>
        <v/>
      </c>
      <c r="C35" s="54" t="str">
        <f ca="1">IF($K35="","",VLOOKUP($K35,PRAC!$A$8:$X$37,3,0))</f>
        <v/>
      </c>
      <c r="D35" s="54" t="str">
        <f ca="1">IF($K35="","",VLOOKUP($K35,PRAC!$A$8:$X$37,4,0))</f>
        <v/>
      </c>
      <c r="E35" s="186" t="str">
        <f ca="1">IF($K35="","",VLOOKUP($K35,PRAC!$A$8:$X$37,5,0))</f>
        <v/>
      </c>
      <c r="F35" s="187" t="str">
        <f ca="1">IF($K35="","",VLOOKUP($K35,PRAC!$A$8:$X$37,12,0))</f>
        <v/>
      </c>
      <c r="G35" s="179" t="str">
        <f ca="1">IF($K35="","",VLOOKUP($K35,PRAC!$A$8:$X$37,13,0))</f>
        <v/>
      </c>
      <c r="H35" s="186" t="str">
        <f ca="1">IF($K35="","",VLOOKUP($K35,PRAC!$A$8:$X$37,14,0))</f>
        <v/>
      </c>
      <c r="I35" s="187" t="str">
        <f ca="1">IF($K35="","",VLOOKUP($K35,PRAC!$A$8:$X$37,21,0))</f>
        <v/>
      </c>
      <c r="J35" s="179" t="str">
        <f ca="1">IF($K35="","",VLOOKUP($K35,PRAC!$A$8:$X$37,22,0))</f>
        <v/>
      </c>
      <c r="K35" s="182" t="str">
        <f ca="1">IF(ISERROR(VLOOKUP($A35,PRAC!$X$8:$Z$37,3,0)=TRUE),"",VLOOKUP($A35,PRAC!$X$8:$Z$37,3,0))</f>
        <v/>
      </c>
      <c r="L35" s="1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2.95" customHeight="1">
      <c r="A36" s="25">
        <v>29</v>
      </c>
      <c r="B36" s="23" t="str">
        <f ca="1">IF($K36="","",VLOOKUP($K36,PRAC!$A$8:$X$37,2,0))</f>
        <v/>
      </c>
      <c r="C36" s="54" t="str">
        <f ca="1">IF($K36="","",VLOOKUP($K36,PRAC!$A$8:$X$37,3,0))</f>
        <v/>
      </c>
      <c r="D36" s="54" t="str">
        <f ca="1">IF($K36="","",VLOOKUP($K36,PRAC!$A$8:$X$37,4,0))</f>
        <v/>
      </c>
      <c r="E36" s="186" t="str">
        <f ca="1">IF($K36="","",VLOOKUP($K36,PRAC!$A$8:$X$37,5,0))</f>
        <v/>
      </c>
      <c r="F36" s="187" t="str">
        <f ca="1">IF($K36="","",VLOOKUP($K36,PRAC!$A$8:$X$37,12,0))</f>
        <v/>
      </c>
      <c r="G36" s="179" t="str">
        <f ca="1">IF($K36="","",VLOOKUP($K36,PRAC!$A$8:$X$37,13,0))</f>
        <v/>
      </c>
      <c r="H36" s="186" t="str">
        <f ca="1">IF($K36="","",VLOOKUP($K36,PRAC!$A$8:$X$37,14,0))</f>
        <v/>
      </c>
      <c r="I36" s="187" t="str">
        <f ca="1">IF($K36="","",VLOOKUP($K36,PRAC!$A$8:$X$37,21,0))</f>
        <v/>
      </c>
      <c r="J36" s="179" t="str">
        <f ca="1">IF($K36="","",VLOOKUP($K36,PRAC!$A$8:$X$37,22,0))</f>
        <v/>
      </c>
      <c r="K36" s="182" t="str">
        <f ca="1">IF(ISERROR(VLOOKUP($A36,PRAC!$X$8:$Z$37,3,0)=TRUE),"",VLOOKUP($A36,PRAC!$X$8:$Z$37,3,0))</f>
        <v/>
      </c>
      <c r="L36" s="1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12.95" customHeight="1" thickBot="1">
      <c r="A37" s="26">
        <v>30</v>
      </c>
      <c r="B37" s="27" t="str">
        <f ca="1">IF($K37="","",VLOOKUP($K37,PRAC!$A$8:$X$37,2,0))</f>
        <v/>
      </c>
      <c r="C37" s="55" t="str">
        <f ca="1">IF($K37="","",VLOOKUP($K37,PRAC!$A$8:$X$37,3,0))</f>
        <v/>
      </c>
      <c r="D37" s="55" t="str">
        <f ca="1">IF($K37="","",VLOOKUP($K37,PRAC!$A$8:$X$37,4,0))</f>
        <v/>
      </c>
      <c r="E37" s="255" t="str">
        <f ca="1">IF($K37="","",VLOOKUP($K37,PRAC!$A$8:$X$37,5,0))</f>
        <v/>
      </c>
      <c r="F37" s="256" t="str">
        <f ca="1">IF($K37="","",VLOOKUP($K37,PRAC!$A$8:$X$37,12,0))</f>
        <v/>
      </c>
      <c r="G37" s="254" t="str">
        <f ca="1">IF($K37="","",VLOOKUP($K37,PRAC!$A$8:$X$37,13,0))</f>
        <v/>
      </c>
      <c r="H37" s="255" t="str">
        <f ca="1">IF($K37="","",VLOOKUP($K37,PRAC!$A$8:$X$37,14,0))</f>
        <v/>
      </c>
      <c r="I37" s="256" t="str">
        <f ca="1">IF($K37="","",VLOOKUP($K37,PRAC!$A$8:$X$37,21,0))</f>
        <v/>
      </c>
      <c r="J37" s="254" t="str">
        <f ca="1">IF($K37="","",VLOOKUP($K37,PRAC!$A$8:$X$37,22,0))</f>
        <v/>
      </c>
      <c r="K37" s="257" t="str">
        <f ca="1">IF(ISERROR(VLOOKUP($A37,PRAC!$X$8:$Z$37,3,0)=TRUE),"",VLOOKUP($A37,PRAC!$X$8:$Z$37,3,0))</f>
        <v/>
      </c>
      <c r="L37" s="1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s="80" customFormat="1" ht="15"/>
    <row r="39" spans="1:63" ht="15" hidden="1"/>
    <row r="40" spans="1:63" ht="15" hidden="1"/>
    <row r="41" spans="1:63" ht="15" hidden="1"/>
    <row r="42" spans="1:63" ht="15" hidden="1"/>
    <row r="43" spans="1:63" ht="15" hidden="1"/>
    <row r="44" spans="1:63" ht="15" hidden="1"/>
    <row r="45" spans="1:63" ht="15" hidden="1"/>
    <row r="46" spans="1:63" ht="15" hidden="1"/>
    <row r="47" spans="1:63" ht="15" hidden="1"/>
    <row r="48" spans="1:63" ht="15" hidden="1"/>
    <row r="49" ht="15" hidden="1"/>
  </sheetData>
  <sheetProtection selectLockedCells="1"/>
  <mergeCells count="5">
    <mergeCell ref="K5:K7"/>
    <mergeCell ref="A5:A7"/>
    <mergeCell ref="B5:B7"/>
    <mergeCell ref="C5:C7"/>
    <mergeCell ref="D5:D7"/>
  </mergeCells>
  <phoneticPr fontId="27" type="noConversion"/>
  <conditionalFormatting sqref="H8:H37 E8:E37">
    <cfRule type="expression" dxfId="2" priority="3" stopIfTrue="1">
      <formula>COUNTIF($E$8:$E$37,E8)&gt;1</formula>
    </cfRule>
  </conditionalFormatting>
  <conditionalFormatting sqref="E8:E37 H8:H37">
    <cfRule type="expression" dxfId="1" priority="2" stopIfTrue="1">
      <formula>COUNTIF($H$8:$H$37,E8)&gt;1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 alignWithMargins="0">
    <oddFooter>&amp;L&amp;"Tahoma,Tučné"&amp;8 25. - 26. května 2012&amp;C&amp;"Tahoma,Tučné"&amp;8Panská Lícha, Brno&amp;R&amp;"Tahoma,Tučné"&amp;8©2012 OAIK SKPV KŘP Jmk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STARTOVNÍ LISTINA</vt:lpstr>
      <vt:lpstr>ROZHODCI (1)</vt:lpstr>
      <vt:lpstr>ROZHODCI (2)</vt:lpstr>
      <vt:lpstr>PRAC</vt:lpstr>
      <vt:lpstr>PRUBEZNA_1</vt:lpstr>
      <vt:lpstr>PRUBEZNA_2</vt:lpstr>
      <vt:lpstr>PRUBEZNA_3</vt:lpstr>
      <vt:lpstr>POLICISTÉ</vt:lpstr>
      <vt:lpstr>CELK</vt:lpstr>
      <vt:lpstr>STARTOVNÍ LISTINA (1)</vt:lpstr>
      <vt:lpstr>STARTOVNÍ LISTINA (2)</vt:lpstr>
      <vt:lpstr>STARTOVNÍ LISTINA (3)</vt:lpstr>
      <vt:lpstr>CELK!Oblast_tisku</vt:lpstr>
      <vt:lpstr>POLICISTÉ!Oblast_tisku</vt:lpstr>
      <vt:lpstr>PRAC!Oblast_tisku</vt:lpstr>
      <vt:lpstr>PRUBEZNA_1!Oblast_tisku</vt:lpstr>
      <vt:lpstr>PRUBEZNA_2!Oblast_tisku</vt:lpstr>
      <vt:lpstr>'ROZHODCI (1)'!Oblast_tisku</vt:lpstr>
      <vt:lpstr>'ROZHODCI (2)'!Oblast_tisku</vt:lpstr>
      <vt:lpstr>'STARTOVNÍ LISTINA'!Oblast_tisku</vt:lpstr>
      <vt:lpstr>'STARTOVNÍ LISTINA (1)'!Oblast_tisku</vt:lpstr>
      <vt:lpstr>'STARTOVNÍ LISTINA (2)'!Oblast_tisku</vt:lpstr>
    </vt:vector>
  </TitlesOfParts>
  <Company>PČR MŘ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 náměstka pro vnější službu</dc:creator>
  <cp:lastModifiedBy>Honza</cp:lastModifiedBy>
  <cp:lastPrinted>2012-05-26T14:22:46Z</cp:lastPrinted>
  <dcterms:created xsi:type="dcterms:W3CDTF">2010-04-07T10:44:05Z</dcterms:created>
  <dcterms:modified xsi:type="dcterms:W3CDTF">2012-05-28T09:02:57Z</dcterms:modified>
</cp:coreProperties>
</file>